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800" windowHeight="11985" tabRatio="669" firstSheet="10" activeTab="14"/>
  </bookViews>
  <sheets>
    <sheet name="Титульный лист" sheetId="20" r:id="rId1"/>
    <sheet name="Общие показатели проекта" sheetId="18" r:id="rId2"/>
    <sheet name="Структура" sheetId="4" r:id="rId3"/>
    <sheet name="Параметры" sheetId="1" r:id="rId4"/>
    <sheet name="Строительная смета" sheetId="11" r:id="rId5"/>
    <sheet name="Штатное расписание" sheetId="12" r:id="rId6"/>
    <sheet name="Эксплуатация и ТО" sheetId="13" r:id="rId7"/>
    <sheet name="Аренда зем. уч." sheetId="14" r:id="rId8"/>
    <sheet name="Заемные средства" sheetId="16" r:id="rId9"/>
    <sheet name="Бюджетное финансирование" sheetId="17" r:id="rId10"/>
    <sheet name="Сводные данные" sheetId="2" r:id="rId11"/>
    <sheet name="Сводные данные с индексацией" sheetId="10" r:id="rId12"/>
    <sheet name="ОДДС и показатели Инвестора" sheetId="19" r:id="rId13"/>
    <sheet name="Соц-эконом эффект" sheetId="22" r:id="rId14"/>
    <sheet name="Сравнительное преимущество" sheetId="21" r:id="rId15"/>
    <sheet name="Прогнозный ОПУ" sheetId="23" r:id="rId16"/>
    <sheet name="Прогнозный баланс" sheetId="24" r:id="rId17"/>
  </sheets>
  <externalReferences>
    <externalReference r:id="rId18"/>
  </externalReferences>
  <calcPr calcId="152511"/>
</workbook>
</file>

<file path=xl/calcChain.xml><?xml version="1.0" encoding="utf-8"?>
<calcChain xmlns="http://schemas.openxmlformats.org/spreadsheetml/2006/main">
  <c r="C40" i="21" l="1"/>
  <c r="C41" i="21" s="1"/>
  <c r="G40" i="10" l="1"/>
  <c r="G7" i="23"/>
  <c r="F13" i="22"/>
  <c r="F14" i="22"/>
  <c r="D15" i="22"/>
  <c r="F15" i="22" s="1"/>
  <c r="D16" i="22"/>
  <c r="F16" i="22" s="1"/>
  <c r="J64" i="21" l="1"/>
  <c r="J16" i="21"/>
  <c r="G12" i="21"/>
  <c r="H12" i="21"/>
  <c r="I12" i="21"/>
  <c r="J12" i="21"/>
  <c r="L12" i="21"/>
  <c r="M12" i="21"/>
  <c r="O12" i="21"/>
  <c r="P12" i="21"/>
  <c r="Q12" i="21"/>
  <c r="R12" i="21"/>
  <c r="S12" i="21"/>
  <c r="T12" i="21"/>
  <c r="U12" i="21"/>
  <c r="V12" i="21"/>
  <c r="W12" i="21"/>
  <c r="X12" i="21"/>
  <c r="Y12" i="21"/>
  <c r="Z12" i="21"/>
  <c r="AA12" i="21"/>
  <c r="AB12" i="21"/>
  <c r="AC12" i="21"/>
  <c r="AD12" i="21"/>
  <c r="F12" i="21"/>
  <c r="G11" i="21"/>
  <c r="H11" i="21"/>
  <c r="I11" i="21"/>
  <c r="R11" i="21"/>
  <c r="S11" i="21"/>
  <c r="T11" i="21"/>
  <c r="U11" i="21"/>
  <c r="V11" i="21"/>
  <c r="W11" i="21"/>
  <c r="X11" i="21"/>
  <c r="Y11" i="21"/>
  <c r="Z11" i="21"/>
  <c r="AA11" i="21"/>
  <c r="AB11" i="21"/>
  <c r="AC11" i="21"/>
  <c r="AD11" i="21"/>
  <c r="F11" i="21"/>
  <c r="AD77" i="21"/>
  <c r="AC77" i="21"/>
  <c r="AB77" i="21"/>
  <c r="AA77" i="21"/>
  <c r="Z77" i="21"/>
  <c r="Y77" i="21"/>
  <c r="X77" i="21"/>
  <c r="W77" i="21"/>
  <c r="V77" i="21"/>
  <c r="U77" i="21"/>
  <c r="T77" i="21"/>
  <c r="S77" i="21"/>
  <c r="R77" i="21"/>
  <c r="Q77" i="21"/>
  <c r="P77" i="21"/>
  <c r="O77" i="21"/>
  <c r="C42" i="21"/>
  <c r="C10" i="21"/>
  <c r="C89" i="21" s="1"/>
  <c r="C9" i="21"/>
  <c r="C91" i="21" s="1"/>
  <c r="AD8" i="21" l="1"/>
  <c r="V8" i="21"/>
  <c r="I8" i="21"/>
  <c r="Y8" i="21"/>
  <c r="U8" i="21"/>
  <c r="AC8" i="21"/>
  <c r="R8" i="21"/>
  <c r="Z8" i="21"/>
  <c r="C77" i="21"/>
  <c r="D99" i="21" s="1"/>
  <c r="F8" i="21"/>
  <c r="H8" i="21"/>
  <c r="T8" i="21"/>
  <c r="X8" i="21"/>
  <c r="AB8" i="21"/>
  <c r="G8" i="21"/>
  <c r="S8" i="21"/>
  <c r="W8" i="21"/>
  <c r="AA8" i="21"/>
  <c r="E3" i="19" l="1"/>
  <c r="D23" i="2" l="1"/>
  <c r="E23" i="2"/>
  <c r="F23" i="2"/>
  <c r="G23" i="2"/>
  <c r="I23" i="2"/>
  <c r="J23" i="2"/>
  <c r="C23" i="2"/>
  <c r="D23" i="19"/>
  <c r="E23" i="19"/>
  <c r="F23" i="19"/>
  <c r="G23" i="19"/>
  <c r="H23" i="19"/>
  <c r="I23" i="19"/>
  <c r="J23" i="19"/>
  <c r="K23" i="19"/>
  <c r="L23" i="19"/>
  <c r="M23" i="19"/>
  <c r="N23" i="19"/>
  <c r="O23" i="19"/>
  <c r="P23" i="19"/>
  <c r="Q23" i="19"/>
  <c r="R23" i="19"/>
  <c r="S23" i="19"/>
  <c r="T23" i="19"/>
  <c r="U23" i="19"/>
  <c r="V23" i="19"/>
  <c r="W23" i="19"/>
  <c r="X23" i="19"/>
  <c r="Y23" i="19"/>
  <c r="Z23" i="19"/>
  <c r="AA23" i="19"/>
  <c r="C23" i="19"/>
  <c r="D24" i="19"/>
  <c r="E24" i="19"/>
  <c r="F24" i="19"/>
  <c r="G24" i="19"/>
  <c r="H24" i="19"/>
  <c r="I24" i="19"/>
  <c r="J24" i="19"/>
  <c r="K24" i="19"/>
  <c r="L24" i="19"/>
  <c r="M24" i="19"/>
  <c r="N24" i="19"/>
  <c r="O24" i="19"/>
  <c r="P24" i="19"/>
  <c r="Q24" i="19"/>
  <c r="R24" i="19"/>
  <c r="S24" i="19"/>
  <c r="T24" i="19"/>
  <c r="U24" i="19"/>
  <c r="V24" i="19"/>
  <c r="W24" i="19"/>
  <c r="X24" i="19"/>
  <c r="Y24" i="19"/>
  <c r="Z24" i="19"/>
  <c r="AA24" i="19"/>
  <c r="C24" i="19"/>
  <c r="D16" i="19"/>
  <c r="E16" i="19"/>
  <c r="P16" i="19"/>
  <c r="Q16" i="19"/>
  <c r="R16" i="19"/>
  <c r="S16" i="19"/>
  <c r="T16" i="19"/>
  <c r="U16" i="19"/>
  <c r="V16" i="19"/>
  <c r="W16" i="19"/>
  <c r="X16" i="19"/>
  <c r="Y16" i="19"/>
  <c r="Z16" i="19"/>
  <c r="AA16" i="19"/>
  <c r="C16" i="19"/>
  <c r="C9" i="19"/>
  <c r="AA45" i="19"/>
  <c r="AA46" i="19" s="1"/>
  <c r="Z45" i="19"/>
  <c r="Z46" i="19" s="1"/>
  <c r="Y45" i="19"/>
  <c r="Y46" i="19" s="1"/>
  <c r="X45" i="19"/>
  <c r="X46" i="19" s="1"/>
  <c r="W45" i="19"/>
  <c r="W46" i="19" s="1"/>
  <c r="V45" i="19"/>
  <c r="V46" i="19" s="1"/>
  <c r="U45" i="19"/>
  <c r="U46" i="19" s="1"/>
  <c r="T45" i="19"/>
  <c r="T46" i="19" s="1"/>
  <c r="S45" i="19"/>
  <c r="S46" i="19" s="1"/>
  <c r="R45" i="19"/>
  <c r="R46" i="19" s="1"/>
  <c r="Q45" i="19"/>
  <c r="Q46" i="19" s="1"/>
  <c r="P45" i="19"/>
  <c r="P46" i="19" s="1"/>
  <c r="O45" i="19"/>
  <c r="O46" i="19" s="1"/>
  <c r="N45" i="19"/>
  <c r="N46" i="19" s="1"/>
  <c r="M45" i="19"/>
  <c r="M46" i="19" s="1"/>
  <c r="L45" i="19"/>
  <c r="L46" i="19" s="1"/>
  <c r="K45" i="19"/>
  <c r="K46" i="19" s="1"/>
  <c r="J45" i="19"/>
  <c r="J46" i="19" s="1"/>
  <c r="I45" i="19"/>
  <c r="I46" i="19" s="1"/>
  <c r="H45" i="19"/>
  <c r="H46" i="19" s="1"/>
  <c r="G45" i="19"/>
  <c r="G46" i="19" s="1"/>
  <c r="F45" i="19"/>
  <c r="F46" i="19" s="1"/>
  <c r="E45" i="19"/>
  <c r="E46" i="19" s="1"/>
  <c r="D45" i="19"/>
  <c r="D46" i="19" s="1"/>
  <c r="C45" i="19"/>
  <c r="C46" i="19" s="1"/>
  <c r="U22" i="19" l="1"/>
  <c r="M22" i="19"/>
  <c r="AA22" i="19"/>
  <c r="S22" i="19"/>
  <c r="I22" i="19"/>
  <c r="E22" i="19"/>
  <c r="W22" i="19"/>
  <c r="O22" i="19"/>
  <c r="G22" i="19"/>
  <c r="Y22" i="19"/>
  <c r="Q22" i="19"/>
  <c r="K22" i="19"/>
  <c r="C22" i="19"/>
  <c r="X22" i="19"/>
  <c r="T22" i="19"/>
  <c r="P22" i="19"/>
  <c r="L22" i="19"/>
  <c r="H22" i="19"/>
  <c r="D22" i="19"/>
  <c r="Z22" i="19"/>
  <c r="V22" i="19"/>
  <c r="R22" i="19"/>
  <c r="N22" i="19"/>
  <c r="J22" i="19"/>
  <c r="F22" i="19"/>
  <c r="AB24" i="19"/>
  <c r="AB23" i="19"/>
  <c r="AB22" i="19" l="1"/>
  <c r="C17" i="17" l="1"/>
  <c r="D31" i="10" l="1"/>
  <c r="D11" i="19" s="1"/>
  <c r="E31" i="10"/>
  <c r="E11" i="19" s="1"/>
  <c r="F31" i="10"/>
  <c r="F11" i="19" s="1"/>
  <c r="P31" i="10"/>
  <c r="P11" i="19" s="1"/>
  <c r="Q31" i="10"/>
  <c r="Q11" i="19" s="1"/>
  <c r="R31" i="10"/>
  <c r="R11" i="19" s="1"/>
  <c r="S31" i="10"/>
  <c r="S11" i="19" s="1"/>
  <c r="T31" i="10"/>
  <c r="T11" i="19" s="1"/>
  <c r="U31" i="10"/>
  <c r="U11" i="19" s="1"/>
  <c r="V31" i="10"/>
  <c r="V11" i="19" s="1"/>
  <c r="W31" i="10"/>
  <c r="W11" i="19" s="1"/>
  <c r="X31" i="10"/>
  <c r="X11" i="19" s="1"/>
  <c r="Y31" i="10"/>
  <c r="Y11" i="19" s="1"/>
  <c r="Z31" i="10"/>
  <c r="Z11" i="19" s="1"/>
  <c r="AA31" i="10"/>
  <c r="AA11" i="19" s="1"/>
  <c r="C31" i="10"/>
  <c r="C11" i="19" s="1"/>
  <c r="D30" i="10"/>
  <c r="E30" i="10"/>
  <c r="F30" i="10"/>
  <c r="I30" i="10"/>
  <c r="J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Z30" i="10"/>
  <c r="AA30" i="10"/>
  <c r="C3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Z20" i="10"/>
  <c r="AA20" i="10"/>
  <c r="C20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C18" i="10"/>
  <c r="Y20" i="19" l="1"/>
  <c r="Y4" i="23"/>
  <c r="Q20" i="19"/>
  <c r="Q4" i="23"/>
  <c r="M20" i="19"/>
  <c r="F20" i="19"/>
  <c r="F4" i="23"/>
  <c r="AA20" i="19"/>
  <c r="AA4" i="23"/>
  <c r="W20" i="19"/>
  <c r="W4" i="23"/>
  <c r="S20" i="19"/>
  <c r="S4" i="23"/>
  <c r="O20" i="19"/>
  <c r="J20" i="19"/>
  <c r="D20" i="19"/>
  <c r="D4" i="23"/>
  <c r="C20" i="19"/>
  <c r="C4" i="23"/>
  <c r="F35" i="10"/>
  <c r="X20" i="19"/>
  <c r="X4" i="23"/>
  <c r="T20" i="19"/>
  <c r="T4" i="23"/>
  <c r="P20" i="19"/>
  <c r="P4" i="23"/>
  <c r="L20" i="19"/>
  <c r="E20" i="19"/>
  <c r="E4" i="23"/>
  <c r="U20" i="19"/>
  <c r="U4" i="23"/>
  <c r="Z20" i="19"/>
  <c r="Z4" i="23"/>
  <c r="V20" i="19"/>
  <c r="V4" i="23"/>
  <c r="R20" i="19"/>
  <c r="R4" i="23"/>
  <c r="N20" i="19"/>
  <c r="I20" i="19"/>
  <c r="C45" i="10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C7" i="2"/>
  <c r="C8" i="2"/>
  <c r="C9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C14" i="13"/>
  <c r="C13" i="13"/>
  <c r="H9" i="11"/>
  <c r="C6" i="2" s="1"/>
  <c r="G7" i="11"/>
  <c r="D45" i="10" l="1"/>
  <c r="D19" i="24"/>
  <c r="D20" i="24" s="1"/>
  <c r="Z12" i="23"/>
  <c r="E12" i="23"/>
  <c r="C12" i="23"/>
  <c r="S12" i="23"/>
  <c r="AA12" i="23"/>
  <c r="Y12" i="23"/>
  <c r="R12" i="23"/>
  <c r="X12" i="23"/>
  <c r="V12" i="23"/>
  <c r="U12" i="23"/>
  <c r="T12" i="23"/>
  <c r="P12" i="23"/>
  <c r="D12" i="23"/>
  <c r="W12" i="23"/>
  <c r="F12" i="23"/>
  <c r="Q12" i="23"/>
  <c r="D24" i="2"/>
  <c r="E24" i="2"/>
  <c r="F24" i="2"/>
  <c r="P24" i="2"/>
  <c r="Q24" i="2"/>
  <c r="R24" i="2"/>
  <c r="S24" i="2"/>
  <c r="T24" i="2"/>
  <c r="U24" i="2"/>
  <c r="V24" i="2"/>
  <c r="W24" i="2"/>
  <c r="X24" i="2"/>
  <c r="Y24" i="2"/>
  <c r="Z24" i="2"/>
  <c r="AA24" i="2"/>
  <c r="C24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E45" i="10" l="1"/>
  <c r="E19" i="24"/>
  <c r="E20" i="24" s="1"/>
  <c r="C12" i="13"/>
  <c r="C10" i="16"/>
  <c r="D10" i="16" s="1"/>
  <c r="C18" i="1"/>
  <c r="G13" i="2" l="1"/>
  <c r="K13" i="2"/>
  <c r="H13" i="2"/>
  <c r="L13" i="2"/>
  <c r="I13" i="2"/>
  <c r="M13" i="2"/>
  <c r="J13" i="2"/>
  <c r="N13" i="2"/>
  <c r="F45" i="10"/>
  <c r="F19" i="24"/>
  <c r="F20" i="24" s="1"/>
  <c r="E10" i="16"/>
  <c r="G45" i="10" l="1"/>
  <c r="G19" i="24"/>
  <c r="G20" i="24" s="1"/>
  <c r="F10" i="16"/>
  <c r="H45" i="10" l="1"/>
  <c r="H19" i="24"/>
  <c r="H20" i="24" s="1"/>
  <c r="G10" i="16"/>
  <c r="H10" i="16" s="1"/>
  <c r="I45" i="10" l="1"/>
  <c r="I19" i="24"/>
  <c r="I20" i="24" s="1"/>
  <c r="I10" i="16"/>
  <c r="J45" i="10" l="1"/>
  <c r="J19" i="24"/>
  <c r="J20" i="24" s="1"/>
  <c r="J10" i="16"/>
  <c r="K45" i="10" l="1"/>
  <c r="K19" i="24"/>
  <c r="K20" i="24" s="1"/>
  <c r="K10" i="16"/>
  <c r="L45" i="10" l="1"/>
  <c r="L19" i="24"/>
  <c r="L20" i="24" s="1"/>
  <c r="L10" i="16"/>
  <c r="M45" i="10" l="1"/>
  <c r="M19" i="24"/>
  <c r="M20" i="24" s="1"/>
  <c r="M10" i="16"/>
  <c r="N45" i="10" l="1"/>
  <c r="N19" i="24"/>
  <c r="N20" i="24" s="1"/>
  <c r="N10" i="16"/>
  <c r="O45" i="10" l="1"/>
  <c r="O19" i="24"/>
  <c r="O20" i="24" s="1"/>
  <c r="O10" i="16"/>
  <c r="P45" i="10" l="1"/>
  <c r="P19" i="24"/>
  <c r="P20" i="24" s="1"/>
  <c r="P10" i="16"/>
  <c r="Q45" i="10" l="1"/>
  <c r="Q19" i="24"/>
  <c r="Q20" i="24" s="1"/>
  <c r="Q10" i="16"/>
  <c r="R45" i="10" l="1"/>
  <c r="R19" i="24"/>
  <c r="R20" i="24" s="1"/>
  <c r="R10" i="16"/>
  <c r="S45" i="10" l="1"/>
  <c r="S19" i="24"/>
  <c r="S20" i="24" s="1"/>
  <c r="S10" i="16"/>
  <c r="T45" i="10" l="1"/>
  <c r="T19" i="24"/>
  <c r="T20" i="24" s="1"/>
  <c r="T10" i="16"/>
  <c r="C27" i="1"/>
  <c r="U45" i="10" l="1"/>
  <c r="U19" i="24"/>
  <c r="U20" i="24" s="1"/>
  <c r="U10" i="16"/>
  <c r="V45" i="10" l="1"/>
  <c r="V19" i="24"/>
  <c r="V20" i="24" s="1"/>
  <c r="V10" i="16"/>
  <c r="W45" i="10" l="1"/>
  <c r="W19" i="24"/>
  <c r="W20" i="24" s="1"/>
  <c r="W10" i="16"/>
  <c r="X45" i="10" l="1"/>
  <c r="X19" i="24"/>
  <c r="X20" i="24" s="1"/>
  <c r="X10" i="16"/>
  <c r="Y45" i="10" l="1"/>
  <c r="Y19" i="24"/>
  <c r="Y20" i="24" s="1"/>
  <c r="Y10" i="16"/>
  <c r="Z45" i="10" l="1"/>
  <c r="Z19" i="24"/>
  <c r="Z20" i="24" s="1"/>
  <c r="Z10" i="16"/>
  <c r="AA45" i="10" l="1"/>
  <c r="AB19" i="24" s="1"/>
  <c r="AB20" i="24" s="1"/>
  <c r="AA19" i="24"/>
  <c r="AA20" i="24" s="1"/>
  <c r="AA10" i="16"/>
  <c r="C32" i="10"/>
  <c r="E32" i="10"/>
  <c r="F32" i="10"/>
  <c r="P41" i="11"/>
  <c r="N41" i="11"/>
  <c r="M41" i="11"/>
  <c r="L41" i="11"/>
  <c r="K41" i="11"/>
  <c r="J41" i="11"/>
  <c r="I41" i="11"/>
  <c r="G39" i="11"/>
  <c r="D38" i="11"/>
  <c r="G38" i="11" s="1"/>
  <c r="G37" i="11"/>
  <c r="D36" i="11"/>
  <c r="G36" i="11" s="1"/>
  <c r="G32" i="11"/>
  <c r="G31" i="11"/>
  <c r="G30" i="11"/>
  <c r="G29" i="11"/>
  <c r="G28" i="11"/>
  <c r="G27" i="11"/>
  <c r="G26" i="11"/>
  <c r="G23" i="11"/>
  <c r="D22" i="11"/>
  <c r="G22" i="11" s="1"/>
  <c r="D20" i="11"/>
  <c r="G20" i="11" s="1"/>
  <c r="D19" i="11"/>
  <c r="G19" i="11" s="1"/>
  <c r="D18" i="11"/>
  <c r="G18" i="11" s="1"/>
  <c r="D17" i="11"/>
  <c r="G17" i="11" s="1"/>
  <c r="G16" i="11"/>
  <c r="G15" i="11"/>
  <c r="G14" i="11"/>
  <c r="D13" i="11"/>
  <c r="G13" i="11" s="1"/>
  <c r="D12" i="11"/>
  <c r="G12" i="11" s="1"/>
  <c r="D11" i="11"/>
  <c r="D21" i="11" s="1"/>
  <c r="G21" i="11" s="1"/>
  <c r="G8" i="11"/>
  <c r="G9" i="11" l="1"/>
  <c r="G34" i="11"/>
  <c r="G40" i="11"/>
  <c r="G11" i="11"/>
  <c r="G24" i="11" s="1"/>
  <c r="G41" i="11" l="1"/>
  <c r="G42" i="11" s="1"/>
  <c r="O41" i="11"/>
  <c r="H41" i="11"/>
  <c r="E6" i="14"/>
  <c r="E17" i="2" s="1"/>
  <c r="F16" i="12"/>
  <c r="F6" i="12"/>
  <c r="G6" i="12" s="1"/>
  <c r="F7" i="12"/>
  <c r="G7" i="12" s="1"/>
  <c r="F8" i="12"/>
  <c r="G8" i="12" s="1"/>
  <c r="F9" i="12"/>
  <c r="G9" i="12" s="1"/>
  <c r="F5" i="12"/>
  <c r="D17" i="12"/>
  <c r="D10" i="12"/>
  <c r="G17" i="2" l="1"/>
  <c r="H7" i="12"/>
  <c r="I7" i="12"/>
  <c r="H6" i="12"/>
  <c r="I6" i="12"/>
  <c r="H9" i="12"/>
  <c r="I9" i="12"/>
  <c r="H8" i="12"/>
  <c r="I8" i="12"/>
  <c r="C17" i="2"/>
  <c r="L17" i="2"/>
  <c r="D17" i="2"/>
  <c r="K17" i="2"/>
  <c r="H17" i="2"/>
  <c r="N17" i="2"/>
  <c r="J17" i="2"/>
  <c r="F17" i="2"/>
  <c r="M17" i="2"/>
  <c r="I17" i="2"/>
  <c r="G16" i="12"/>
  <c r="I16" i="12" s="1"/>
  <c r="I17" i="12" s="1"/>
  <c r="G17" i="12" l="1"/>
  <c r="H16" i="12"/>
  <c r="H17" i="12" s="1"/>
  <c r="G5" i="12"/>
  <c r="I5" i="12" s="1"/>
  <c r="L18" i="2" l="1"/>
  <c r="L19" i="2" s="1"/>
  <c r="Q18" i="2"/>
  <c r="Q19" i="2" s="1"/>
  <c r="U18" i="2"/>
  <c r="U19" i="2" s="1"/>
  <c r="Y18" i="2"/>
  <c r="Y19" i="2" s="1"/>
  <c r="T18" i="2"/>
  <c r="T19" i="2" s="1"/>
  <c r="H18" i="2"/>
  <c r="H19" i="2" s="1"/>
  <c r="K18" i="2"/>
  <c r="K19" i="2" s="1"/>
  <c r="P18" i="2"/>
  <c r="P19" i="2" s="1"/>
  <c r="X18" i="2"/>
  <c r="X19" i="2" s="1"/>
  <c r="J18" i="2"/>
  <c r="J19" i="2" s="1"/>
  <c r="N18" i="2"/>
  <c r="N19" i="2" s="1"/>
  <c r="S18" i="2"/>
  <c r="S19" i="2" s="1"/>
  <c r="W18" i="2"/>
  <c r="W19" i="2" s="1"/>
  <c r="AA18" i="2"/>
  <c r="AA19" i="2" s="1"/>
  <c r="I18" i="2"/>
  <c r="I19" i="2" s="1"/>
  <c r="M18" i="2"/>
  <c r="M19" i="2" s="1"/>
  <c r="R18" i="2"/>
  <c r="R19" i="2" s="1"/>
  <c r="V18" i="2"/>
  <c r="V19" i="2" s="1"/>
  <c r="Z18" i="2"/>
  <c r="Z19" i="2" s="1"/>
  <c r="G18" i="12"/>
  <c r="H5" i="12"/>
  <c r="H10" i="12" s="1"/>
  <c r="I10" i="12"/>
  <c r="G10" i="12"/>
  <c r="G11" i="12" l="1"/>
  <c r="G18" i="2"/>
  <c r="G19" i="2" s="1"/>
  <c r="E18" i="2"/>
  <c r="E19" i="2" s="1"/>
  <c r="C18" i="2"/>
  <c r="C19" i="2" s="1"/>
  <c r="F18" i="2"/>
  <c r="F19" i="2" s="1"/>
  <c r="D18" i="2"/>
  <c r="D19" i="2" s="1"/>
  <c r="AB18" i="2" l="1"/>
  <c r="AB17" i="2"/>
  <c r="AB13" i="2"/>
  <c r="AB6" i="2"/>
  <c r="AB7" i="2"/>
  <c r="AB8" i="2"/>
  <c r="AB9" i="2"/>
  <c r="C5" i="10"/>
  <c r="C19" i="1"/>
  <c r="C20" i="1" l="1"/>
  <c r="C34" i="19" s="1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R8" i="16"/>
  <c r="S8" i="16"/>
  <c r="T8" i="16"/>
  <c r="U8" i="16"/>
  <c r="V8" i="16"/>
  <c r="W8" i="16"/>
  <c r="X8" i="16"/>
  <c r="Y8" i="16"/>
  <c r="Z8" i="16"/>
  <c r="AA8" i="16"/>
  <c r="C15" i="10"/>
  <c r="C10" i="10"/>
  <c r="C9" i="10"/>
  <c r="C8" i="10"/>
  <c r="F57" i="21" s="1"/>
  <c r="C11" i="10"/>
  <c r="C24" i="10"/>
  <c r="C25" i="10"/>
  <c r="D5" i="10"/>
  <c r="Y35" i="19" l="1"/>
  <c r="Y36" i="19" s="1"/>
  <c r="K35" i="19"/>
  <c r="K36" i="19" s="1"/>
  <c r="L35" i="19"/>
  <c r="L36" i="19" s="1"/>
  <c r="F35" i="19"/>
  <c r="F36" i="19" s="1"/>
  <c r="V35" i="19"/>
  <c r="V36" i="19" s="1"/>
  <c r="M35" i="19"/>
  <c r="M36" i="19" s="1"/>
  <c r="AA35" i="19"/>
  <c r="AA36" i="19" s="1"/>
  <c r="P35" i="19"/>
  <c r="P36" i="19" s="1"/>
  <c r="J35" i="19"/>
  <c r="J36" i="19" s="1"/>
  <c r="Z35" i="19"/>
  <c r="Z36" i="19" s="1"/>
  <c r="Q35" i="19"/>
  <c r="Q36" i="19" s="1"/>
  <c r="C35" i="19"/>
  <c r="C36" i="19" s="1"/>
  <c r="G35" i="19"/>
  <c r="G36" i="19" s="1"/>
  <c r="D35" i="19"/>
  <c r="D36" i="19" s="1"/>
  <c r="T35" i="19"/>
  <c r="T36" i="19" s="1"/>
  <c r="N35" i="19"/>
  <c r="N36" i="19" s="1"/>
  <c r="E35" i="19"/>
  <c r="E36" i="19" s="1"/>
  <c r="U35" i="19"/>
  <c r="U36" i="19" s="1"/>
  <c r="O35" i="19"/>
  <c r="O36" i="19" s="1"/>
  <c r="W35" i="19"/>
  <c r="W36" i="19" s="1"/>
  <c r="H35" i="19"/>
  <c r="H36" i="19" s="1"/>
  <c r="X35" i="19"/>
  <c r="X36" i="19" s="1"/>
  <c r="R35" i="19"/>
  <c r="R36" i="19" s="1"/>
  <c r="I35" i="19"/>
  <c r="I36" i="19" s="1"/>
  <c r="S35" i="19"/>
  <c r="S36" i="19" s="1"/>
  <c r="C12" i="19"/>
  <c r="F59" i="21"/>
  <c r="F58" i="21"/>
  <c r="C26" i="10"/>
  <c r="C7" i="23" s="1"/>
  <c r="F63" i="21"/>
  <c r="F15" i="21"/>
  <c r="F74" i="21"/>
  <c r="F60" i="21"/>
  <c r="C13" i="19"/>
  <c r="C15" i="19"/>
  <c r="D15" i="19"/>
  <c r="D13" i="19"/>
  <c r="E15" i="19"/>
  <c r="E13" i="19"/>
  <c r="I15" i="19"/>
  <c r="I13" i="19"/>
  <c r="J15" i="19"/>
  <c r="J13" i="19"/>
  <c r="F15" i="19"/>
  <c r="F13" i="19"/>
  <c r="G15" i="19"/>
  <c r="G13" i="19"/>
  <c r="H15" i="19"/>
  <c r="H13" i="19"/>
  <c r="Z15" i="19"/>
  <c r="Z13" i="19"/>
  <c r="R15" i="19"/>
  <c r="R13" i="19"/>
  <c r="AA13" i="19"/>
  <c r="AA15" i="19"/>
  <c r="S13" i="19"/>
  <c r="S15" i="19"/>
  <c r="X15" i="19"/>
  <c r="X13" i="19"/>
  <c r="L15" i="19"/>
  <c r="L13" i="19"/>
  <c r="V15" i="19"/>
  <c r="V13" i="19"/>
  <c r="N15" i="19"/>
  <c r="N13" i="19"/>
  <c r="W13" i="19"/>
  <c r="W15" i="19"/>
  <c r="O13" i="19"/>
  <c r="O15" i="19"/>
  <c r="K13" i="19"/>
  <c r="K15" i="19"/>
  <c r="T15" i="19"/>
  <c r="T13" i="19"/>
  <c r="P15" i="19"/>
  <c r="P13" i="19"/>
  <c r="Y15" i="19"/>
  <c r="Y13" i="19"/>
  <c r="U13" i="19"/>
  <c r="U15" i="19"/>
  <c r="Q15" i="19"/>
  <c r="Q13" i="19"/>
  <c r="M13" i="19"/>
  <c r="M15" i="19"/>
  <c r="Y19" i="10"/>
  <c r="Y9" i="23" s="1"/>
  <c r="U19" i="10"/>
  <c r="U9" i="23" s="1"/>
  <c r="Q19" i="10"/>
  <c r="Q9" i="23" s="1"/>
  <c r="M19" i="10"/>
  <c r="M9" i="23" s="1"/>
  <c r="I19" i="10"/>
  <c r="I9" i="23" s="1"/>
  <c r="E19" i="10"/>
  <c r="E9" i="23" s="1"/>
  <c r="X19" i="10"/>
  <c r="X9" i="23" s="1"/>
  <c r="T19" i="10"/>
  <c r="T9" i="23" s="1"/>
  <c r="P19" i="10"/>
  <c r="P9" i="23" s="1"/>
  <c r="L19" i="10"/>
  <c r="L9" i="23" s="1"/>
  <c r="H19" i="10"/>
  <c r="H9" i="23" s="1"/>
  <c r="D19" i="10"/>
  <c r="D9" i="23" s="1"/>
  <c r="AA19" i="10"/>
  <c r="AA9" i="23" s="1"/>
  <c r="W19" i="10"/>
  <c r="W9" i="23" s="1"/>
  <c r="S19" i="10"/>
  <c r="S9" i="23" s="1"/>
  <c r="O19" i="10"/>
  <c r="O9" i="23" s="1"/>
  <c r="K19" i="10"/>
  <c r="K9" i="23" s="1"/>
  <c r="G19" i="10"/>
  <c r="G9" i="23" s="1"/>
  <c r="C19" i="10"/>
  <c r="Z19" i="10"/>
  <c r="Z9" i="23" s="1"/>
  <c r="V19" i="10"/>
  <c r="V9" i="23" s="1"/>
  <c r="R19" i="10"/>
  <c r="R9" i="23" s="1"/>
  <c r="N19" i="10"/>
  <c r="N9" i="23" s="1"/>
  <c r="J19" i="10"/>
  <c r="J9" i="23" s="1"/>
  <c r="F19" i="10"/>
  <c r="F9" i="23" s="1"/>
  <c r="D15" i="10"/>
  <c r="D8" i="10"/>
  <c r="G57" i="21" s="1"/>
  <c r="D11" i="10"/>
  <c r="D10" i="10"/>
  <c r="D9" i="10"/>
  <c r="D24" i="10"/>
  <c r="D25" i="10"/>
  <c r="C12" i="10"/>
  <c r="E5" i="10"/>
  <c r="C9" i="23" l="1"/>
  <c r="C19" i="19"/>
  <c r="C18" i="19" s="1"/>
  <c r="D7" i="24"/>
  <c r="C5" i="23"/>
  <c r="C6" i="23" s="1"/>
  <c r="C8" i="23" s="1"/>
  <c r="D12" i="19"/>
  <c r="G59" i="21"/>
  <c r="G76" i="21" s="1"/>
  <c r="F78" i="21"/>
  <c r="F76" i="21"/>
  <c r="G58" i="21"/>
  <c r="G75" i="21" s="1"/>
  <c r="G74" i="21"/>
  <c r="F75" i="21"/>
  <c r="D26" i="10"/>
  <c r="D7" i="23" s="1"/>
  <c r="G63" i="21"/>
  <c r="G15" i="21"/>
  <c r="F64" i="21"/>
  <c r="F62" i="21" s="1"/>
  <c r="F16" i="21"/>
  <c r="F56" i="21"/>
  <c r="AB13" i="19"/>
  <c r="C52" i="19" s="1"/>
  <c r="D12" i="10"/>
  <c r="E23" i="10"/>
  <c r="E15" i="10"/>
  <c r="E8" i="10"/>
  <c r="H57" i="21" s="1"/>
  <c r="E11" i="10"/>
  <c r="E10" i="10"/>
  <c r="E9" i="10"/>
  <c r="E24" i="10"/>
  <c r="E25" i="10"/>
  <c r="F5" i="10"/>
  <c r="G5" i="10" s="1"/>
  <c r="H58" i="21" l="1"/>
  <c r="H75" i="21" s="1"/>
  <c r="E7" i="24"/>
  <c r="D8" i="24"/>
  <c r="D19" i="19"/>
  <c r="D18" i="19" s="1"/>
  <c r="D5" i="23"/>
  <c r="D6" i="23" s="1"/>
  <c r="D8" i="23" s="1"/>
  <c r="E10" i="23"/>
  <c r="E12" i="19"/>
  <c r="H59" i="21"/>
  <c r="E26" i="10"/>
  <c r="E7" i="23" s="1"/>
  <c r="H15" i="21"/>
  <c r="H63" i="21"/>
  <c r="G64" i="21"/>
  <c r="G16" i="21"/>
  <c r="G14" i="21" s="1"/>
  <c r="G50" i="21" s="1"/>
  <c r="F14" i="21"/>
  <c r="F50" i="21" s="1"/>
  <c r="F81" i="21"/>
  <c r="H5" i="10"/>
  <c r="I5" i="10" s="1"/>
  <c r="G24" i="10"/>
  <c r="J60" i="21" s="1"/>
  <c r="J78" i="21" s="1"/>
  <c r="G60" i="21"/>
  <c r="H74" i="21"/>
  <c r="F73" i="21"/>
  <c r="F23" i="10"/>
  <c r="F15" i="10"/>
  <c r="F11" i="10"/>
  <c r="F10" i="10"/>
  <c r="F9" i="10"/>
  <c r="F8" i="10"/>
  <c r="I57" i="21" s="1"/>
  <c r="F24" i="10"/>
  <c r="F25" i="10"/>
  <c r="E12" i="10"/>
  <c r="H60" i="21" l="1"/>
  <c r="H78" i="21" s="1"/>
  <c r="I58" i="21"/>
  <c r="I75" i="21" s="1"/>
  <c r="F10" i="23"/>
  <c r="F7" i="24"/>
  <c r="E8" i="24"/>
  <c r="F26" i="10"/>
  <c r="I60" i="21" s="1"/>
  <c r="I78" i="21" s="1"/>
  <c r="E19" i="19"/>
  <c r="E18" i="19" s="1"/>
  <c r="E5" i="23"/>
  <c r="E6" i="23" s="1"/>
  <c r="E8" i="23" s="1"/>
  <c r="E11" i="23" s="1"/>
  <c r="E13" i="23" s="1"/>
  <c r="G78" i="21"/>
  <c r="G73" i="21" s="1"/>
  <c r="G56" i="21"/>
  <c r="G62" i="21"/>
  <c r="H76" i="21"/>
  <c r="H73" i="21" s="1"/>
  <c r="I74" i="21"/>
  <c r="F12" i="19"/>
  <c r="I59" i="21"/>
  <c r="I76" i="21" s="1"/>
  <c r="H64" i="21"/>
  <c r="H62" i="21" s="1"/>
  <c r="H16" i="21"/>
  <c r="H14" i="21" s="1"/>
  <c r="H50" i="21" s="1"/>
  <c r="F12" i="10"/>
  <c r="E27" i="10"/>
  <c r="E14" i="19" s="1"/>
  <c r="E10" i="19" s="1"/>
  <c r="G23" i="10"/>
  <c r="G10" i="23" s="1"/>
  <c r="G15" i="10"/>
  <c r="J59" i="21" s="1"/>
  <c r="J76" i="21" s="1"/>
  <c r="G10" i="10"/>
  <c r="G9" i="10"/>
  <c r="G8" i="10"/>
  <c r="J57" i="21" s="1"/>
  <c r="G11" i="10"/>
  <c r="I64" i="21" l="1"/>
  <c r="H56" i="21"/>
  <c r="H81" i="21" s="1"/>
  <c r="J58" i="21"/>
  <c r="J75" i="21" s="1"/>
  <c r="E25" i="19"/>
  <c r="E29" i="19" s="1"/>
  <c r="E47" i="19" s="1"/>
  <c r="G7" i="24"/>
  <c r="F8" i="24"/>
  <c r="I73" i="21"/>
  <c r="I16" i="21"/>
  <c r="F7" i="23"/>
  <c r="I56" i="21"/>
  <c r="F19" i="19"/>
  <c r="F18" i="19" s="1"/>
  <c r="F5" i="23"/>
  <c r="F6" i="23" s="1"/>
  <c r="G81" i="21"/>
  <c r="J56" i="21"/>
  <c r="J74" i="21"/>
  <c r="G12" i="19"/>
  <c r="H15" i="10"/>
  <c r="K59" i="21" s="1"/>
  <c r="K76" i="21" s="1"/>
  <c r="H24" i="10"/>
  <c r="F27" i="10"/>
  <c r="F14" i="19" s="1"/>
  <c r="H23" i="10"/>
  <c r="H9" i="10"/>
  <c r="H8" i="10"/>
  <c r="K57" i="21" s="1"/>
  <c r="H11" i="10"/>
  <c r="H10" i="10"/>
  <c r="H25" i="10"/>
  <c r="G12" i="10"/>
  <c r="F8" i="23" l="1"/>
  <c r="F11" i="23" s="1"/>
  <c r="F13" i="23" s="1"/>
  <c r="E37" i="19"/>
  <c r="H7" i="24"/>
  <c r="G8" i="24"/>
  <c r="G19" i="19"/>
  <c r="G5" i="23"/>
  <c r="H10" i="23"/>
  <c r="J73" i="21"/>
  <c r="H26" i="10"/>
  <c r="K60" i="21" s="1"/>
  <c r="K74" i="21"/>
  <c r="K58" i="21"/>
  <c r="H12" i="19"/>
  <c r="I15" i="10"/>
  <c r="L59" i="21" s="1"/>
  <c r="L76" i="21" s="1"/>
  <c r="I24" i="10"/>
  <c r="I23" i="10"/>
  <c r="I9" i="10"/>
  <c r="I10" i="10"/>
  <c r="I8" i="10"/>
  <c r="L57" i="21" s="1"/>
  <c r="I11" i="10"/>
  <c r="I25" i="10"/>
  <c r="H12" i="10"/>
  <c r="J5" i="10"/>
  <c r="E25" i="2"/>
  <c r="F25" i="2"/>
  <c r="C25" i="2"/>
  <c r="K20" i="2"/>
  <c r="L20" i="2"/>
  <c r="M20" i="2"/>
  <c r="N20" i="2"/>
  <c r="P20" i="2"/>
  <c r="Q20" i="2"/>
  <c r="R20" i="2"/>
  <c r="S20" i="2"/>
  <c r="T20" i="2"/>
  <c r="U20" i="2"/>
  <c r="V20" i="2"/>
  <c r="W20" i="2"/>
  <c r="X20" i="2"/>
  <c r="Y20" i="2"/>
  <c r="Z20" i="2"/>
  <c r="AA2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C10" i="2"/>
  <c r="C16" i="1"/>
  <c r="C15" i="1"/>
  <c r="K56" i="21" l="1"/>
  <c r="I10" i="23"/>
  <c r="I7" i="24"/>
  <c r="H8" i="24"/>
  <c r="H19" i="19"/>
  <c r="H5" i="23"/>
  <c r="H7" i="23"/>
  <c r="H27" i="10"/>
  <c r="I13" i="17" s="1"/>
  <c r="K11" i="21" s="1"/>
  <c r="I26" i="10"/>
  <c r="I7" i="23" s="1"/>
  <c r="K75" i="21"/>
  <c r="K73" i="21" s="1"/>
  <c r="L58" i="21"/>
  <c r="L75" i="21" s="1"/>
  <c r="K78" i="21"/>
  <c r="L74" i="21"/>
  <c r="K64" i="21"/>
  <c r="K16" i="21"/>
  <c r="I12" i="19"/>
  <c r="J15" i="10"/>
  <c r="M59" i="21" s="1"/>
  <c r="J24" i="10"/>
  <c r="J23" i="10"/>
  <c r="J8" i="10"/>
  <c r="M57" i="21" s="1"/>
  <c r="J11" i="10"/>
  <c r="J10" i="10"/>
  <c r="J9" i="10"/>
  <c r="J25" i="10"/>
  <c r="I12" i="10"/>
  <c r="K5" i="10"/>
  <c r="AB10" i="2"/>
  <c r="I27" i="10" l="1"/>
  <c r="I14" i="19" s="1"/>
  <c r="H14" i="19"/>
  <c r="J7" i="24"/>
  <c r="I8" i="24"/>
  <c r="J10" i="23"/>
  <c r="J26" i="10"/>
  <c r="J7" i="23" s="1"/>
  <c r="I19" i="19"/>
  <c r="I18" i="19" s="1"/>
  <c r="I5" i="23"/>
  <c r="M76" i="21"/>
  <c r="J13" i="17"/>
  <c r="L11" i="21" s="1"/>
  <c r="L8" i="21" s="1"/>
  <c r="M74" i="21"/>
  <c r="L64" i="21"/>
  <c r="L16" i="21"/>
  <c r="M64" i="21"/>
  <c r="M58" i="21"/>
  <c r="M75" i="21" s="1"/>
  <c r="L60" i="21"/>
  <c r="L56" i="21" s="1"/>
  <c r="J12" i="19"/>
  <c r="K15" i="10"/>
  <c r="N59" i="21" s="1"/>
  <c r="N76" i="21" s="1"/>
  <c r="K24" i="10"/>
  <c r="K23" i="10"/>
  <c r="K11" i="10"/>
  <c r="K10" i="10"/>
  <c r="K9" i="10"/>
  <c r="K8" i="10"/>
  <c r="N57" i="21" s="1"/>
  <c r="K25" i="10"/>
  <c r="J12" i="10"/>
  <c r="L5" i="10"/>
  <c r="J27" i="10" l="1"/>
  <c r="J14" i="19" s="1"/>
  <c r="K10" i="23"/>
  <c r="K7" i="24"/>
  <c r="J8" i="24"/>
  <c r="M16" i="21"/>
  <c r="M60" i="21"/>
  <c r="M78" i="21" s="1"/>
  <c r="J19" i="19"/>
  <c r="J18" i="19" s="1"/>
  <c r="J5" i="23"/>
  <c r="K13" i="17"/>
  <c r="M11" i="21" s="1"/>
  <c r="M8" i="21" s="1"/>
  <c r="K26" i="10"/>
  <c r="N60" i="21" s="1"/>
  <c r="N74" i="21"/>
  <c r="N58" i="21"/>
  <c r="N75" i="21" s="1"/>
  <c r="L78" i="21"/>
  <c r="L73" i="21" s="1"/>
  <c r="M73" i="21"/>
  <c r="K12" i="19"/>
  <c r="L15" i="10"/>
  <c r="O59" i="21" s="1"/>
  <c r="O76" i="21" s="1"/>
  <c r="L24" i="10"/>
  <c r="L23" i="10"/>
  <c r="L10" i="23" s="1"/>
  <c r="L10" i="10"/>
  <c r="L9" i="10"/>
  <c r="L8" i="10"/>
  <c r="O57" i="21" s="1"/>
  <c r="L11" i="10"/>
  <c r="L25" i="10"/>
  <c r="K12" i="10"/>
  <c r="M5" i="10"/>
  <c r="M56" i="21" l="1"/>
  <c r="K19" i="19"/>
  <c r="K5" i="23"/>
  <c r="L7" i="24"/>
  <c r="K8" i="24"/>
  <c r="K7" i="23"/>
  <c r="N78" i="21"/>
  <c r="N56" i="21"/>
  <c r="L26" i="10"/>
  <c r="L7" i="23" s="1"/>
  <c r="O74" i="21"/>
  <c r="K27" i="10"/>
  <c r="N64" i="21"/>
  <c r="N16" i="21"/>
  <c r="O58" i="21"/>
  <c r="O75" i="21" s="1"/>
  <c r="O60" i="21"/>
  <c r="O78" i="21" s="1"/>
  <c r="L12" i="19"/>
  <c r="L27" i="10"/>
  <c r="L14" i="19" s="1"/>
  <c r="M15" i="10"/>
  <c r="P59" i="21" s="1"/>
  <c r="P76" i="21" s="1"/>
  <c r="M24" i="10"/>
  <c r="M23" i="10"/>
  <c r="M9" i="10"/>
  <c r="M8" i="10"/>
  <c r="P57" i="21" s="1"/>
  <c r="M11" i="10"/>
  <c r="M10" i="10"/>
  <c r="M25" i="10"/>
  <c r="L12" i="10"/>
  <c r="N5" i="10"/>
  <c r="L19" i="19" l="1"/>
  <c r="L18" i="19" s="1"/>
  <c r="L5" i="23"/>
  <c r="M10" i="23"/>
  <c r="P58" i="21"/>
  <c r="P75" i="21" s="1"/>
  <c r="M7" i="24"/>
  <c r="L8" i="24"/>
  <c r="M26" i="10"/>
  <c r="M27" i="10" s="1"/>
  <c r="K14" i="19"/>
  <c r="L13" i="17"/>
  <c r="N11" i="21" s="1"/>
  <c r="P74" i="21"/>
  <c r="O64" i="21"/>
  <c r="O16" i="21"/>
  <c r="M13" i="17"/>
  <c r="O11" i="21" s="1"/>
  <c r="O8" i="21" s="1"/>
  <c r="O73" i="21"/>
  <c r="N73" i="21"/>
  <c r="O56" i="21"/>
  <c r="M12" i="19"/>
  <c r="N15" i="10"/>
  <c r="Q59" i="21" s="1"/>
  <c r="Q76" i="21" s="1"/>
  <c r="N24" i="10"/>
  <c r="N23" i="10"/>
  <c r="N9" i="10"/>
  <c r="N8" i="10"/>
  <c r="Q57" i="21" s="1"/>
  <c r="N11" i="10"/>
  <c r="N10" i="10"/>
  <c r="N25" i="10"/>
  <c r="M12" i="10"/>
  <c r="O5" i="10"/>
  <c r="N10" i="23" l="1"/>
  <c r="N7" i="24"/>
  <c r="M8" i="24"/>
  <c r="P60" i="21"/>
  <c r="P78" i="21" s="1"/>
  <c r="M19" i="19"/>
  <c r="M18" i="19" s="1"/>
  <c r="M5" i="23"/>
  <c r="N26" i="10"/>
  <c r="Q60" i="21" s="1"/>
  <c r="Q78" i="21" s="1"/>
  <c r="M7" i="23"/>
  <c r="M14" i="19"/>
  <c r="N13" i="17"/>
  <c r="P11" i="21" s="1"/>
  <c r="P8" i="21" s="1"/>
  <c r="Q74" i="21"/>
  <c r="P64" i="21"/>
  <c r="P16" i="21"/>
  <c r="P73" i="21"/>
  <c r="Q58" i="21"/>
  <c r="Q75" i="21" s="1"/>
  <c r="P56" i="21"/>
  <c r="O24" i="10"/>
  <c r="O15" i="10"/>
  <c r="R59" i="21" s="1"/>
  <c r="R76" i="21" s="1"/>
  <c r="N12" i="19"/>
  <c r="O23" i="10"/>
  <c r="O8" i="10"/>
  <c r="R57" i="21" s="1"/>
  <c r="O11" i="10"/>
  <c r="O10" i="10"/>
  <c r="O9" i="10"/>
  <c r="O25" i="10"/>
  <c r="N12" i="10"/>
  <c r="P5" i="10"/>
  <c r="O10" i="23" l="1"/>
  <c r="N27" i="10"/>
  <c r="N14" i="19" s="1"/>
  <c r="N7" i="23"/>
  <c r="O7" i="24"/>
  <c r="N8" i="24"/>
  <c r="Q64" i="21"/>
  <c r="Q56" i="21"/>
  <c r="Q16" i="21"/>
  <c r="N19" i="19"/>
  <c r="N18" i="19" s="1"/>
  <c r="N5" i="23"/>
  <c r="R74" i="21"/>
  <c r="Q73" i="21"/>
  <c r="O26" i="10"/>
  <c r="R60" i="21" s="1"/>
  <c r="R78" i="21" s="1"/>
  <c r="R58" i="21"/>
  <c r="R75" i="21" s="1"/>
  <c r="P15" i="10"/>
  <c r="S59" i="21" s="1"/>
  <c r="S76" i="21" s="1"/>
  <c r="P24" i="10"/>
  <c r="N36" i="10"/>
  <c r="O12" i="19"/>
  <c r="O12" i="10"/>
  <c r="P23" i="10"/>
  <c r="P10" i="23" s="1"/>
  <c r="P8" i="10"/>
  <c r="S57" i="21" s="1"/>
  <c r="P11" i="10"/>
  <c r="P10" i="10"/>
  <c r="P9" i="10"/>
  <c r="P25" i="10"/>
  <c r="Q5" i="10"/>
  <c r="C21" i="1"/>
  <c r="H20" i="2"/>
  <c r="I20" i="2"/>
  <c r="J20" i="2"/>
  <c r="P12" i="19" l="1"/>
  <c r="O13" i="17"/>
  <c r="Q11" i="21" s="1"/>
  <c r="Q8" i="21" s="1"/>
  <c r="P7" i="24"/>
  <c r="O8" i="24"/>
  <c r="O7" i="23"/>
  <c r="O19" i="19"/>
  <c r="O18" i="19" s="1"/>
  <c r="O5" i="23"/>
  <c r="R56" i="21"/>
  <c r="S58" i="21"/>
  <c r="S75" i="21" s="1"/>
  <c r="R73" i="21"/>
  <c r="R64" i="21"/>
  <c r="R16" i="21"/>
  <c r="S74" i="21"/>
  <c r="P26" i="10"/>
  <c r="P7" i="23" s="1"/>
  <c r="S63" i="21"/>
  <c r="S15" i="21"/>
  <c r="O27" i="10"/>
  <c r="S60" i="21"/>
  <c r="S78" i="21" s="1"/>
  <c r="Q24" i="10"/>
  <c r="Q15" i="10"/>
  <c r="T59" i="21" s="1"/>
  <c r="T76" i="21" s="1"/>
  <c r="O14" i="19"/>
  <c r="Q23" i="10"/>
  <c r="Q10" i="10"/>
  <c r="Q9" i="10"/>
  <c r="Q8" i="10"/>
  <c r="T57" i="21" s="1"/>
  <c r="Q11" i="10"/>
  <c r="Q25" i="10"/>
  <c r="P12" i="10"/>
  <c r="R5" i="10"/>
  <c r="AB19" i="2"/>
  <c r="E20" i="2"/>
  <c r="F20" i="2"/>
  <c r="C20" i="2"/>
  <c r="P27" i="10" l="1"/>
  <c r="P14" i="19" s="1"/>
  <c r="P10" i="19" s="1"/>
  <c r="P25" i="19" s="1"/>
  <c r="P29" i="19" s="1"/>
  <c r="P47" i="19" s="1"/>
  <c r="Q10" i="23"/>
  <c r="S73" i="21"/>
  <c r="Q7" i="24"/>
  <c r="P8" i="24"/>
  <c r="S56" i="21"/>
  <c r="P19" i="19"/>
  <c r="P18" i="19" s="1"/>
  <c r="P5" i="23"/>
  <c r="P6" i="23" s="1"/>
  <c r="P8" i="23" s="1"/>
  <c r="P11" i="23" s="1"/>
  <c r="P13" i="23" s="1"/>
  <c r="Q12" i="19"/>
  <c r="Q26" i="10"/>
  <c r="Q7" i="23" s="1"/>
  <c r="T63" i="21"/>
  <c r="T15" i="21"/>
  <c r="T58" i="21"/>
  <c r="T75" i="21" s="1"/>
  <c r="T74" i="21"/>
  <c r="S64" i="21"/>
  <c r="S62" i="21" s="1"/>
  <c r="S16" i="21"/>
  <c r="S14" i="21" s="1"/>
  <c r="S50" i="21" s="1"/>
  <c r="R15" i="10"/>
  <c r="R24" i="10"/>
  <c r="Q12" i="10"/>
  <c r="R23" i="10"/>
  <c r="R10" i="10"/>
  <c r="R9" i="10"/>
  <c r="R8" i="10"/>
  <c r="U57" i="21" s="1"/>
  <c r="R11" i="10"/>
  <c r="R25" i="10"/>
  <c r="S5" i="10"/>
  <c r="S81" i="21" l="1"/>
  <c r="R10" i="23"/>
  <c r="T60" i="21"/>
  <c r="T78" i="21" s="1"/>
  <c r="T73" i="21" s="1"/>
  <c r="R7" i="24"/>
  <c r="Q8" i="24"/>
  <c r="Q19" i="19"/>
  <c r="Q18" i="19" s="1"/>
  <c r="Q5" i="23"/>
  <c r="Q6" i="23" s="1"/>
  <c r="Q8" i="23" s="1"/>
  <c r="Q11" i="23" s="1"/>
  <c r="Q13" i="23" s="1"/>
  <c r="U74" i="21"/>
  <c r="R26" i="10"/>
  <c r="R7" i="23" s="1"/>
  <c r="U63" i="21"/>
  <c r="U15" i="21"/>
  <c r="R12" i="19"/>
  <c r="U59" i="21"/>
  <c r="U76" i="21" s="1"/>
  <c r="T56" i="21"/>
  <c r="T64" i="21"/>
  <c r="T62" i="21" s="1"/>
  <c r="T16" i="21"/>
  <c r="T14" i="21" s="1"/>
  <c r="T50" i="21" s="1"/>
  <c r="U58" i="21"/>
  <c r="U75" i="21" s="1"/>
  <c r="P37" i="19"/>
  <c r="S24" i="10"/>
  <c r="S15" i="10"/>
  <c r="Q27" i="10"/>
  <c r="Q14" i="19" s="1"/>
  <c r="Q10" i="19" s="1"/>
  <c r="R12" i="10"/>
  <c r="S23" i="10"/>
  <c r="S10" i="23" s="1"/>
  <c r="S9" i="10"/>
  <c r="S8" i="10"/>
  <c r="V57" i="21" s="1"/>
  <c r="S11" i="10"/>
  <c r="S10" i="10"/>
  <c r="S25" i="10"/>
  <c r="T5" i="10"/>
  <c r="Q25" i="19" l="1"/>
  <c r="Q29" i="19" s="1"/>
  <c r="Q47" i="19" s="1"/>
  <c r="R19" i="19"/>
  <c r="R18" i="19" s="1"/>
  <c r="R5" i="23"/>
  <c r="R6" i="23" s="1"/>
  <c r="R8" i="23" s="1"/>
  <c r="R11" i="23" s="1"/>
  <c r="R13" i="23" s="1"/>
  <c r="S7" i="24"/>
  <c r="R8" i="24"/>
  <c r="V58" i="21"/>
  <c r="V75" i="21" s="1"/>
  <c r="U60" i="21"/>
  <c r="U78" i="21" s="1"/>
  <c r="U73" i="21" s="1"/>
  <c r="T81" i="21"/>
  <c r="S26" i="10"/>
  <c r="S7" i="23" s="1"/>
  <c r="V63" i="21"/>
  <c r="V15" i="21"/>
  <c r="S12" i="19"/>
  <c r="V59" i="21"/>
  <c r="V76" i="21" s="1"/>
  <c r="V74" i="21"/>
  <c r="U64" i="21"/>
  <c r="U62" i="21" s="1"/>
  <c r="U16" i="21"/>
  <c r="U14" i="21" s="1"/>
  <c r="U50" i="21" s="1"/>
  <c r="Q37" i="19"/>
  <c r="T15" i="10"/>
  <c r="W59" i="21" s="1"/>
  <c r="W76" i="21" s="1"/>
  <c r="T24" i="10"/>
  <c r="R27" i="10"/>
  <c r="R14" i="19" s="1"/>
  <c r="R10" i="19" s="1"/>
  <c r="S12" i="10"/>
  <c r="T23" i="10"/>
  <c r="T8" i="10"/>
  <c r="W57" i="21" s="1"/>
  <c r="T11" i="10"/>
  <c r="T10" i="10"/>
  <c r="T9" i="10"/>
  <c r="T12" i="19"/>
  <c r="T25" i="10"/>
  <c r="U5" i="10"/>
  <c r="U56" i="21" l="1"/>
  <c r="T10" i="23"/>
  <c r="T7" i="23"/>
  <c r="R25" i="19"/>
  <c r="R29" i="19" s="1"/>
  <c r="R47" i="19" s="1"/>
  <c r="V60" i="21"/>
  <c r="V78" i="21" s="1"/>
  <c r="V73" i="21" s="1"/>
  <c r="S19" i="19"/>
  <c r="S18" i="19" s="1"/>
  <c r="S5" i="23"/>
  <c r="S6" i="23" s="1"/>
  <c r="S8" i="23" s="1"/>
  <c r="S11" i="23" s="1"/>
  <c r="S13" i="23" s="1"/>
  <c r="T7" i="24"/>
  <c r="S8" i="24"/>
  <c r="U81" i="21"/>
  <c r="W74" i="21"/>
  <c r="T26" i="10"/>
  <c r="W60" i="21" s="1"/>
  <c r="W78" i="21" s="1"/>
  <c r="W15" i="21"/>
  <c r="W63" i="21"/>
  <c r="V64" i="21"/>
  <c r="V62" i="21" s="1"/>
  <c r="V16" i="21"/>
  <c r="V14" i="21" s="1"/>
  <c r="V50" i="21" s="1"/>
  <c r="W58" i="21"/>
  <c r="W75" i="21" s="1"/>
  <c r="U15" i="10"/>
  <c r="U24" i="10"/>
  <c r="S27" i="10"/>
  <c r="S14" i="19" s="1"/>
  <c r="S10" i="19" s="1"/>
  <c r="S25" i="19" s="1"/>
  <c r="S29" i="19" s="1"/>
  <c r="S47" i="19" s="1"/>
  <c r="T12" i="10"/>
  <c r="U23" i="10"/>
  <c r="U8" i="10"/>
  <c r="X57" i="21" s="1"/>
  <c r="U11" i="10"/>
  <c r="U10" i="10"/>
  <c r="U9" i="10"/>
  <c r="U25" i="10"/>
  <c r="V5" i="10"/>
  <c r="R37" i="19" l="1"/>
  <c r="T19" i="19"/>
  <c r="T18" i="19" s="1"/>
  <c r="T5" i="23"/>
  <c r="T6" i="23" s="1"/>
  <c r="T8" i="23" s="1"/>
  <c r="T11" i="23" s="1"/>
  <c r="T13" i="23" s="1"/>
  <c r="U10" i="23"/>
  <c r="U7" i="24"/>
  <c r="T8" i="24"/>
  <c r="V56" i="21"/>
  <c r="V81" i="21" s="1"/>
  <c r="X74" i="21"/>
  <c r="W73" i="21"/>
  <c r="U26" i="10"/>
  <c r="U7" i="23" s="1"/>
  <c r="X63" i="21"/>
  <c r="X15" i="21"/>
  <c r="U12" i="19"/>
  <c r="X59" i="21"/>
  <c r="X76" i="21" s="1"/>
  <c r="W64" i="21"/>
  <c r="W62" i="21" s="1"/>
  <c r="W16" i="21"/>
  <c r="W14" i="21" s="1"/>
  <c r="W50" i="21" s="1"/>
  <c r="X58" i="21"/>
  <c r="X75" i="21" s="1"/>
  <c r="W56" i="21"/>
  <c r="X60" i="21"/>
  <c r="X78" i="21" s="1"/>
  <c r="S37" i="19"/>
  <c r="V15" i="10"/>
  <c r="V24" i="10"/>
  <c r="T27" i="10"/>
  <c r="T14" i="19" s="1"/>
  <c r="T10" i="19" s="1"/>
  <c r="T25" i="19" s="1"/>
  <c r="T29" i="19" s="1"/>
  <c r="T47" i="19" s="1"/>
  <c r="V23" i="10"/>
  <c r="V10" i="10"/>
  <c r="V9" i="10"/>
  <c r="V8" i="10"/>
  <c r="Y57" i="21" s="1"/>
  <c r="V11" i="10"/>
  <c r="V25" i="10"/>
  <c r="U12" i="10"/>
  <c r="W5" i="10"/>
  <c r="Y58" i="21" l="1"/>
  <c r="Y75" i="21" s="1"/>
  <c r="V7" i="24"/>
  <c r="U8" i="24"/>
  <c r="V10" i="23"/>
  <c r="U19" i="19"/>
  <c r="U18" i="19" s="1"/>
  <c r="U5" i="23"/>
  <c r="U6" i="23" s="1"/>
  <c r="U8" i="23" s="1"/>
  <c r="U11" i="23" s="1"/>
  <c r="U13" i="23" s="1"/>
  <c r="V26" i="10"/>
  <c r="V7" i="23" s="1"/>
  <c r="Y63" i="21"/>
  <c r="Y15" i="21"/>
  <c r="V12" i="19"/>
  <c r="Y59" i="21"/>
  <c r="Y76" i="21" s="1"/>
  <c r="W81" i="21"/>
  <c r="X73" i="21"/>
  <c r="X56" i="21"/>
  <c r="Y74" i="21"/>
  <c r="X64" i="21"/>
  <c r="X62" i="21" s="1"/>
  <c r="X16" i="21"/>
  <c r="X14" i="21" s="1"/>
  <c r="X50" i="21" s="1"/>
  <c r="T37" i="19"/>
  <c r="W24" i="10"/>
  <c r="W15" i="10"/>
  <c r="V12" i="10"/>
  <c r="U27" i="10"/>
  <c r="U14" i="19" s="1"/>
  <c r="U10" i="19" s="1"/>
  <c r="U25" i="19" s="1"/>
  <c r="U29" i="19" s="1"/>
  <c r="U47" i="19" s="1"/>
  <c r="W23" i="10"/>
  <c r="W10" i="23" s="1"/>
  <c r="W10" i="10"/>
  <c r="W9" i="10"/>
  <c r="Z58" i="21" s="1"/>
  <c r="Z75" i="21" s="1"/>
  <c r="W8" i="10"/>
  <c r="Z57" i="21" s="1"/>
  <c r="W11" i="10"/>
  <c r="W25" i="10"/>
  <c r="X5" i="10"/>
  <c r="Y60" i="21" l="1"/>
  <c r="Y78" i="21" s="1"/>
  <c r="W7" i="24"/>
  <c r="V8" i="24"/>
  <c r="X81" i="21"/>
  <c r="V19" i="19"/>
  <c r="V18" i="19" s="1"/>
  <c r="V5" i="23"/>
  <c r="V6" i="23" s="1"/>
  <c r="V8" i="23" s="1"/>
  <c r="V11" i="23" s="1"/>
  <c r="V13" i="23" s="1"/>
  <c r="Y16" i="21"/>
  <c r="Y64" i="21"/>
  <c r="Y62" i="21" s="1"/>
  <c r="W26" i="10"/>
  <c r="W7" i="23" s="1"/>
  <c r="Z63" i="21"/>
  <c r="Z15" i="21"/>
  <c r="W12" i="19"/>
  <c r="Z59" i="21"/>
  <c r="Z76" i="21" s="1"/>
  <c r="Z74" i="21"/>
  <c r="Y14" i="21"/>
  <c r="Y50" i="21" s="1"/>
  <c r="Y73" i="21"/>
  <c r="U37" i="19"/>
  <c r="X15" i="10"/>
  <c r="X24" i="10"/>
  <c r="V27" i="10"/>
  <c r="V14" i="19" s="1"/>
  <c r="V10" i="19" s="1"/>
  <c r="X23" i="10"/>
  <c r="X9" i="10"/>
  <c r="X8" i="10"/>
  <c r="AA57" i="21" s="1"/>
  <c r="X11" i="10"/>
  <c r="X10" i="10"/>
  <c r="X25" i="10"/>
  <c r="W12" i="10"/>
  <c r="Y5" i="10"/>
  <c r="W27" i="10" l="1"/>
  <c r="W14" i="19" s="1"/>
  <c r="W10" i="19" s="1"/>
  <c r="W25" i="19" s="1"/>
  <c r="W29" i="19" s="1"/>
  <c r="W47" i="19" s="1"/>
  <c r="Y56" i="21"/>
  <c r="Y81" i="21" s="1"/>
  <c r="X7" i="24"/>
  <c r="W8" i="24"/>
  <c r="W19" i="19"/>
  <c r="W18" i="19" s="1"/>
  <c r="W5" i="23"/>
  <c r="W6" i="23" s="1"/>
  <c r="W8" i="23" s="1"/>
  <c r="W11" i="23" s="1"/>
  <c r="W13" i="23" s="1"/>
  <c r="V25" i="19"/>
  <c r="V29" i="19" s="1"/>
  <c r="V47" i="19" s="1"/>
  <c r="Z60" i="21"/>
  <c r="X10" i="23"/>
  <c r="AA58" i="21"/>
  <c r="AA75" i="21" s="1"/>
  <c r="X26" i="10"/>
  <c r="AA60" i="21" s="1"/>
  <c r="AA78" i="21" s="1"/>
  <c r="AA15" i="21"/>
  <c r="AA63" i="21"/>
  <c r="AA74" i="21"/>
  <c r="X12" i="19"/>
  <c r="AA59" i="21"/>
  <c r="AA76" i="21" s="1"/>
  <c r="Z64" i="21"/>
  <c r="Z62" i="21" s="1"/>
  <c r="Z16" i="21"/>
  <c r="Z14" i="21" s="1"/>
  <c r="Z50" i="21" s="1"/>
  <c r="Y24" i="10"/>
  <c r="Y15" i="10"/>
  <c r="Y23" i="10"/>
  <c r="Y9" i="10"/>
  <c r="Y8" i="10"/>
  <c r="AB57" i="21" s="1"/>
  <c r="Y11" i="10"/>
  <c r="Y10" i="10"/>
  <c r="Y25" i="10"/>
  <c r="X12" i="10"/>
  <c r="Z5" i="10"/>
  <c r="AB58" i="21" l="1"/>
  <c r="AB75" i="21" s="1"/>
  <c r="V37" i="19"/>
  <c r="Y7" i="24"/>
  <c r="X8" i="24"/>
  <c r="X7" i="23"/>
  <c r="X19" i="19"/>
  <c r="X18" i="19" s="1"/>
  <c r="X5" i="23"/>
  <c r="X6" i="23" s="1"/>
  <c r="Y10" i="23"/>
  <c r="Z78" i="21"/>
  <c r="Z73" i="21" s="1"/>
  <c r="Z56" i="21"/>
  <c r="Z81" i="21" s="1"/>
  <c r="Y26" i="10"/>
  <c r="Y7" i="23" s="1"/>
  <c r="AB63" i="21"/>
  <c r="AB15" i="21"/>
  <c r="AB74" i="21"/>
  <c r="Y12" i="19"/>
  <c r="AB59" i="21"/>
  <c r="AB76" i="21" s="1"/>
  <c r="AA73" i="21"/>
  <c r="AA64" i="21"/>
  <c r="AA62" i="21" s="1"/>
  <c r="AA16" i="21"/>
  <c r="AA14" i="21" s="1"/>
  <c r="AA50" i="21" s="1"/>
  <c r="AA56" i="21"/>
  <c r="W37" i="19"/>
  <c r="Z15" i="10"/>
  <c r="Z24" i="10"/>
  <c r="X27" i="10"/>
  <c r="X14" i="19" s="1"/>
  <c r="X10" i="19" s="1"/>
  <c r="Y12" i="10"/>
  <c r="Z23" i="10"/>
  <c r="Z8" i="10"/>
  <c r="AC57" i="21" s="1"/>
  <c r="Z11" i="10"/>
  <c r="Z10" i="10"/>
  <c r="Z9" i="10"/>
  <c r="Z25" i="10"/>
  <c r="AA5" i="10"/>
  <c r="AA24" i="10" s="1"/>
  <c r="X25" i="19" l="1"/>
  <c r="X29" i="19" s="1"/>
  <c r="X47" i="19" s="1"/>
  <c r="Z7" i="24"/>
  <c r="Y8" i="24"/>
  <c r="Y19" i="19"/>
  <c r="Y18" i="19" s="1"/>
  <c r="Y5" i="23"/>
  <c r="Y6" i="23" s="1"/>
  <c r="Y8" i="23" s="1"/>
  <c r="Y11" i="23" s="1"/>
  <c r="Y13" i="23" s="1"/>
  <c r="Z10" i="23"/>
  <c r="X8" i="23"/>
  <c r="X11" i="23" s="1"/>
  <c r="X13" i="23" s="1"/>
  <c r="AB64" i="21"/>
  <c r="AB62" i="21" s="1"/>
  <c r="AB16" i="21"/>
  <c r="AB14" i="21" s="1"/>
  <c r="AB50" i="21" s="1"/>
  <c r="AA81" i="21"/>
  <c r="AB60" i="21"/>
  <c r="Z26" i="10"/>
  <c r="Z27" i="10" s="1"/>
  <c r="Z14" i="19" s="1"/>
  <c r="AC63" i="21"/>
  <c r="AC15" i="21"/>
  <c r="AB24" i="10"/>
  <c r="AC74" i="21"/>
  <c r="Z12" i="19"/>
  <c r="AC59" i="21"/>
  <c r="AC76" i="21" s="1"/>
  <c r="AC58" i="21"/>
  <c r="AC75" i="21" s="1"/>
  <c r="Y27" i="10"/>
  <c r="Y14" i="19" s="1"/>
  <c r="Y10" i="19" s="1"/>
  <c r="Y25" i="19" s="1"/>
  <c r="Y29" i="19" s="1"/>
  <c r="Y47" i="19" s="1"/>
  <c r="Z12" i="10"/>
  <c r="AA23" i="10"/>
  <c r="AA10" i="23" s="1"/>
  <c r="AA11" i="10"/>
  <c r="AB11" i="10" s="1"/>
  <c r="AA10" i="10"/>
  <c r="AB10" i="10" s="1"/>
  <c r="AA9" i="10"/>
  <c r="AA8" i="10"/>
  <c r="AD57" i="21" s="1"/>
  <c r="AA15" i="10"/>
  <c r="AA25" i="10"/>
  <c r="X37" i="19" l="1"/>
  <c r="Z10" i="19"/>
  <c r="AA7" i="24"/>
  <c r="Z8" i="24"/>
  <c r="Z19" i="19"/>
  <c r="Z18" i="19" s="1"/>
  <c r="Z5" i="23"/>
  <c r="Z6" i="23" s="1"/>
  <c r="Z7" i="23"/>
  <c r="AD74" i="21"/>
  <c r="C57" i="21"/>
  <c r="D91" i="21" s="1"/>
  <c r="AA26" i="10"/>
  <c r="AA7" i="23" s="1"/>
  <c r="AD63" i="21"/>
  <c r="AD15" i="21"/>
  <c r="AB78" i="21"/>
  <c r="AB73" i="21" s="1"/>
  <c r="AB56" i="21"/>
  <c r="AB81" i="21" s="1"/>
  <c r="AD58" i="21"/>
  <c r="AC64" i="21"/>
  <c r="AC16" i="21"/>
  <c r="AC14" i="21" s="1"/>
  <c r="AC50" i="21" s="1"/>
  <c r="C14" i="17"/>
  <c r="AD59" i="21"/>
  <c r="AC60" i="21"/>
  <c r="AC62" i="21"/>
  <c r="Y37" i="19"/>
  <c r="AA12" i="19"/>
  <c r="AB12" i="19" s="1"/>
  <c r="AB9" i="10"/>
  <c r="AB25" i="10"/>
  <c r="C15" i="18" s="1"/>
  <c r="AA12" i="10"/>
  <c r="AB8" i="10"/>
  <c r="AB15" i="10"/>
  <c r="Z8" i="23" l="1"/>
  <c r="Z11" i="23" s="1"/>
  <c r="Z13" i="23" s="1"/>
  <c r="Z25" i="19"/>
  <c r="Z29" i="19" s="1"/>
  <c r="Z47" i="19" s="1"/>
  <c r="AB7" i="24"/>
  <c r="AB8" i="24" s="1"/>
  <c r="AA8" i="24"/>
  <c r="AA19" i="19"/>
  <c r="AA5" i="23"/>
  <c r="AA6" i="23" s="1"/>
  <c r="AA8" i="23" s="1"/>
  <c r="AA11" i="23" s="1"/>
  <c r="AA13" i="23" s="1"/>
  <c r="AD76" i="21"/>
  <c r="C76" i="21" s="1"/>
  <c r="D98" i="21" s="1"/>
  <c r="C59" i="21"/>
  <c r="D90" i="21" s="1"/>
  <c r="AD75" i="21"/>
  <c r="C75" i="21" s="1"/>
  <c r="D96" i="21" s="1"/>
  <c r="C58" i="21"/>
  <c r="D89" i="21" s="1"/>
  <c r="C74" i="21"/>
  <c r="D97" i="21" s="1"/>
  <c r="AC78" i="21"/>
  <c r="AC73" i="21" s="1"/>
  <c r="AC56" i="21"/>
  <c r="AC81" i="21" s="1"/>
  <c r="AD64" i="21"/>
  <c r="C64" i="21" s="1"/>
  <c r="AD16" i="21"/>
  <c r="C16" i="21" s="1"/>
  <c r="AD60" i="21"/>
  <c r="AA18" i="19"/>
  <c r="AB19" i="19"/>
  <c r="C42" i="19" s="1"/>
  <c r="C20" i="18"/>
  <c r="C33" i="18"/>
  <c r="C32" i="18"/>
  <c r="C19" i="18"/>
  <c r="AB26" i="10"/>
  <c r="C16" i="18" s="1"/>
  <c r="AB12" i="10"/>
  <c r="AA27" i="10"/>
  <c r="AA14" i="19" s="1"/>
  <c r="AA10" i="19" s="1"/>
  <c r="AA25" i="19" s="1"/>
  <c r="AA29" i="19" s="1"/>
  <c r="AA47" i="19" s="1"/>
  <c r="Z37" i="19" l="1"/>
  <c r="AD62" i="21"/>
  <c r="AD14" i="21"/>
  <c r="AD50" i="21" s="1"/>
  <c r="AD78" i="21"/>
  <c r="C78" i="21" s="1"/>
  <c r="D100" i="21" s="1"/>
  <c r="C60" i="21"/>
  <c r="D92" i="21" s="1"/>
  <c r="AD56" i="21"/>
  <c r="AA37" i="19"/>
  <c r="C14" i="18"/>
  <c r="C27" i="18"/>
  <c r="C6" i="17"/>
  <c r="D16" i="2"/>
  <c r="D23" i="10" s="1"/>
  <c r="D10" i="23" s="1"/>
  <c r="D11" i="23" s="1"/>
  <c r="D13" i="23" s="1"/>
  <c r="AD81" i="21" l="1"/>
  <c r="C56" i="21"/>
  <c r="AD73" i="21"/>
  <c r="C73" i="21" s="1"/>
  <c r="G20" i="2"/>
  <c r="AB16" i="2"/>
  <c r="D20" i="2"/>
  <c r="AB20" i="2" l="1"/>
  <c r="G27" i="10"/>
  <c r="D27" i="10"/>
  <c r="H13" i="17" l="1"/>
  <c r="J11" i="21" s="1"/>
  <c r="C15" i="17"/>
  <c r="C16" i="17" s="1"/>
  <c r="G14" i="19"/>
  <c r="J36" i="10"/>
  <c r="D14" i="19"/>
  <c r="D10" i="19" s="1"/>
  <c r="D25" i="19" s="1"/>
  <c r="D29" i="19" s="1"/>
  <c r="D47" i="19" s="1"/>
  <c r="U25" i="2"/>
  <c r="Y25" i="2"/>
  <c r="R25" i="2"/>
  <c r="P25" i="2"/>
  <c r="V25" i="2"/>
  <c r="S25" i="2"/>
  <c r="Z25" i="2"/>
  <c r="T25" i="2"/>
  <c r="AA25" i="2"/>
  <c r="Q25" i="2"/>
  <c r="W25" i="2"/>
  <c r="X25" i="2"/>
  <c r="C11" i="21" l="1"/>
  <c r="C90" i="21" s="1"/>
  <c r="J8" i="21"/>
  <c r="D37" i="19"/>
  <c r="G31" i="10"/>
  <c r="G24" i="2"/>
  <c r="AA32" i="10"/>
  <c r="Z32" i="10"/>
  <c r="R32" i="10"/>
  <c r="Q32" i="10"/>
  <c r="T32" i="10"/>
  <c r="S32" i="10"/>
  <c r="P32" i="10"/>
  <c r="Y32" i="10"/>
  <c r="V32" i="10"/>
  <c r="U32" i="10"/>
  <c r="X32" i="10"/>
  <c r="W32" i="10"/>
  <c r="G11" i="19" l="1"/>
  <c r="AB19" i="10"/>
  <c r="J63" i="21" l="1"/>
  <c r="J62" i="21" s="1"/>
  <c r="J81" i="21" s="1"/>
  <c r="J15" i="21"/>
  <c r="J14" i="21" s="1"/>
  <c r="J50" i="21" s="1"/>
  <c r="C30" i="18"/>
  <c r="C17" i="18"/>
  <c r="C7" i="17"/>
  <c r="C23" i="10" l="1"/>
  <c r="C8" i="17" l="1"/>
  <c r="C10" i="23"/>
  <c r="C11" i="23" s="1"/>
  <c r="C13" i="23" s="1"/>
  <c r="C27" i="10"/>
  <c r="D16" i="24" s="1"/>
  <c r="AB23" i="10"/>
  <c r="D17" i="24" l="1"/>
  <c r="D14" i="24" s="1"/>
  <c r="C44" i="10"/>
  <c r="D11" i="24" s="1"/>
  <c r="F36" i="10"/>
  <c r="F37" i="10" s="1"/>
  <c r="F38" i="10" s="1"/>
  <c r="AB27" i="10"/>
  <c r="C14" i="19"/>
  <c r="C31" i="18"/>
  <c r="C18" i="18"/>
  <c r="I63" i="21" l="1"/>
  <c r="I15" i="21"/>
  <c r="C20" i="16"/>
  <c r="F16" i="19"/>
  <c r="F10" i="19" s="1"/>
  <c r="F25" i="19" s="1"/>
  <c r="F29" i="19" s="1"/>
  <c r="F47" i="19" s="1"/>
  <c r="AB36" i="10"/>
  <c r="C10" i="19"/>
  <c r="AB14" i="19"/>
  <c r="G30" i="10"/>
  <c r="G20" i="19" l="1"/>
  <c r="G18" i="19" s="1"/>
  <c r="G4" i="23"/>
  <c r="I62" i="21"/>
  <c r="I14" i="21"/>
  <c r="I50" i="21" s="1"/>
  <c r="F37" i="19"/>
  <c r="C25" i="19"/>
  <c r="C29" i="19" s="1"/>
  <c r="D9" i="19"/>
  <c r="D25" i="2"/>
  <c r="G12" i="23" l="1"/>
  <c r="G6" i="23"/>
  <c r="G8" i="23" s="1"/>
  <c r="G11" i="23" s="1"/>
  <c r="E9" i="19"/>
  <c r="D13" i="24"/>
  <c r="D4" i="24" s="1"/>
  <c r="I81" i="21"/>
  <c r="C47" i="19"/>
  <c r="C48" i="19" s="1"/>
  <c r="D48" i="19" s="1"/>
  <c r="C30" i="19"/>
  <c r="C28" i="19"/>
  <c r="D28" i="19" s="1"/>
  <c r="E28" i="19" s="1"/>
  <c r="F28" i="19" s="1"/>
  <c r="C37" i="19"/>
  <c r="C38" i="19" s="1"/>
  <c r="G25" i="2"/>
  <c r="G32" i="10"/>
  <c r="D32" i="10"/>
  <c r="G13" i="23" l="1"/>
  <c r="F9" i="19"/>
  <c r="D44" i="10"/>
  <c r="E16" i="24"/>
  <c r="D30" i="19"/>
  <c r="C31" i="19"/>
  <c r="D38" i="19"/>
  <c r="E38" i="19" s="1"/>
  <c r="F38" i="19" s="1"/>
  <c r="E48" i="19"/>
  <c r="F48" i="19" s="1"/>
  <c r="C9" i="17"/>
  <c r="G16" i="19"/>
  <c r="G10" i="19" s="1"/>
  <c r="E44" i="10" l="1"/>
  <c r="E11" i="24"/>
  <c r="E13" i="24" s="1"/>
  <c r="E4" i="24" s="1"/>
  <c r="F16" i="24"/>
  <c r="E17" i="24"/>
  <c r="E14" i="24" s="1"/>
  <c r="G9" i="19"/>
  <c r="H9" i="19" s="1"/>
  <c r="E30" i="19"/>
  <c r="D31" i="19"/>
  <c r="G25" i="19"/>
  <c r="G29" i="19" s="1"/>
  <c r="D20" i="16"/>
  <c r="F44" i="10" l="1"/>
  <c r="F11" i="24"/>
  <c r="F13" i="24" s="1"/>
  <c r="F4" i="24" s="1"/>
  <c r="G16" i="24"/>
  <c r="F17" i="24"/>
  <c r="F14" i="24" s="1"/>
  <c r="F30" i="19"/>
  <c r="F31" i="19" s="1"/>
  <c r="E31" i="19"/>
  <c r="G47" i="19"/>
  <c r="G37" i="19"/>
  <c r="G38" i="19" s="1"/>
  <c r="G28" i="19"/>
  <c r="E20" i="16"/>
  <c r="G44" i="10" l="1"/>
  <c r="H11" i="24" s="1"/>
  <c r="H13" i="24" s="1"/>
  <c r="H4" i="24" s="1"/>
  <c r="G11" i="24"/>
  <c r="G13" i="24" s="1"/>
  <c r="G4" i="24" s="1"/>
  <c r="H16" i="24"/>
  <c r="G17" i="24"/>
  <c r="G14" i="24" s="1"/>
  <c r="G30" i="19"/>
  <c r="G31" i="19" s="1"/>
  <c r="G48" i="19"/>
  <c r="F20" i="16"/>
  <c r="H17" i="24" l="1"/>
  <c r="H14" i="24" s="1"/>
  <c r="G20" i="16"/>
  <c r="C13" i="17" l="1"/>
  <c r="H31" i="10" l="1"/>
  <c r="H40" i="10" l="1"/>
  <c r="H11" i="19"/>
  <c r="H24" i="2"/>
  <c r="J24" i="2"/>
  <c r="J25" i="2" s="1"/>
  <c r="J31" i="10"/>
  <c r="O24" i="2"/>
  <c r="O25" i="2" s="1"/>
  <c r="O31" i="10"/>
  <c r="K24" i="2"/>
  <c r="K31" i="10"/>
  <c r="K11" i="19" s="1"/>
  <c r="I24" i="2"/>
  <c r="I25" i="2" s="1"/>
  <c r="I31" i="10"/>
  <c r="N31" i="10"/>
  <c r="N24" i="2"/>
  <c r="N25" i="2" s="1"/>
  <c r="M24" i="2"/>
  <c r="M25" i="2" s="1"/>
  <c r="M31" i="10"/>
  <c r="L24" i="2"/>
  <c r="L25" i="2" s="1"/>
  <c r="L31" i="10"/>
  <c r="L11" i="19" l="1"/>
  <c r="L4" i="23"/>
  <c r="J11" i="19"/>
  <c r="J4" i="23"/>
  <c r="M11" i="19"/>
  <c r="M4" i="23"/>
  <c r="I11" i="19"/>
  <c r="I4" i="23"/>
  <c r="O11" i="19"/>
  <c r="O4" i="23"/>
  <c r="N11" i="19"/>
  <c r="N4" i="23"/>
  <c r="H16" i="19"/>
  <c r="H10" i="19" s="1"/>
  <c r="K15" i="21"/>
  <c r="K14" i="21" s="1"/>
  <c r="K63" i="21"/>
  <c r="K62" i="21" s="1"/>
  <c r="K81" i="21" s="1"/>
  <c r="M40" i="10"/>
  <c r="M32" i="10"/>
  <c r="I40" i="10"/>
  <c r="I32" i="10"/>
  <c r="AB31" i="10"/>
  <c r="O32" i="10"/>
  <c r="O40" i="10"/>
  <c r="AB24" i="2"/>
  <c r="J40" i="10"/>
  <c r="J32" i="10"/>
  <c r="L40" i="10"/>
  <c r="L32" i="10"/>
  <c r="N40" i="10"/>
  <c r="N32" i="10"/>
  <c r="K40" i="10"/>
  <c r="AB11" i="19" l="1"/>
  <c r="O12" i="23"/>
  <c r="O6" i="23"/>
  <c r="O8" i="23" s="1"/>
  <c r="O11" i="23" s="1"/>
  <c r="M6" i="23"/>
  <c r="M8" i="23" s="1"/>
  <c r="M11" i="23" s="1"/>
  <c r="M12" i="23"/>
  <c r="L6" i="23"/>
  <c r="L8" i="23" s="1"/>
  <c r="L11" i="23" s="1"/>
  <c r="L12" i="23"/>
  <c r="N12" i="23"/>
  <c r="N6" i="23"/>
  <c r="N8" i="23" s="1"/>
  <c r="N11" i="23" s="1"/>
  <c r="I6" i="23"/>
  <c r="I8" i="23" s="1"/>
  <c r="I11" i="23" s="1"/>
  <c r="I13" i="23" s="1"/>
  <c r="I12" i="23"/>
  <c r="J12" i="23"/>
  <c r="J6" i="23"/>
  <c r="J8" i="23" s="1"/>
  <c r="J11" i="23" s="1"/>
  <c r="M16" i="19"/>
  <c r="M10" i="19" s="1"/>
  <c r="M25" i="19" s="1"/>
  <c r="M29" i="19" s="1"/>
  <c r="M47" i="19" s="1"/>
  <c r="P15" i="21"/>
  <c r="P14" i="21" s="1"/>
  <c r="P50" i="21" s="1"/>
  <c r="P63" i="21"/>
  <c r="P62" i="21" s="1"/>
  <c r="P81" i="21" s="1"/>
  <c r="N15" i="21"/>
  <c r="N14" i="21" s="1"/>
  <c r="N63" i="21"/>
  <c r="N62" i="21" s="1"/>
  <c r="N81" i="21" s="1"/>
  <c r="L16" i="19"/>
  <c r="L10" i="19" s="1"/>
  <c r="L25" i="19" s="1"/>
  <c r="L29" i="19" s="1"/>
  <c r="L47" i="19" s="1"/>
  <c r="O15" i="21"/>
  <c r="O14" i="21" s="1"/>
  <c r="O50" i="21" s="1"/>
  <c r="O63" i="21"/>
  <c r="O62" i="21" s="1"/>
  <c r="O81" i="21" s="1"/>
  <c r="R15" i="21"/>
  <c r="R14" i="21" s="1"/>
  <c r="R50" i="21" s="1"/>
  <c r="R63" i="21"/>
  <c r="R62" i="21" s="1"/>
  <c r="R81" i="21" s="1"/>
  <c r="I16" i="19"/>
  <c r="I10" i="19" s="1"/>
  <c r="I25" i="19" s="1"/>
  <c r="I29" i="19" s="1"/>
  <c r="I47" i="19" s="1"/>
  <c r="L63" i="21"/>
  <c r="L62" i="21" s="1"/>
  <c r="L81" i="21" s="1"/>
  <c r="L15" i="21"/>
  <c r="L14" i="21" s="1"/>
  <c r="L50" i="21" s="1"/>
  <c r="AB40" i="10"/>
  <c r="L37" i="19" l="1"/>
  <c r="L13" i="23"/>
  <c r="J13" i="23"/>
  <c r="N13" i="23"/>
  <c r="O13" i="23"/>
  <c r="M13" i="23"/>
  <c r="M37" i="19"/>
  <c r="I37" i="19"/>
  <c r="C21" i="18"/>
  <c r="C34" i="18"/>
  <c r="C5" i="17"/>
  <c r="I5" i="17" s="1"/>
  <c r="O16" i="19"/>
  <c r="O10" i="19" s="1"/>
  <c r="O25" i="19" s="1"/>
  <c r="O29" i="19" s="1"/>
  <c r="O47" i="19" s="1"/>
  <c r="N12" i="21" l="1"/>
  <c r="N8" i="21" s="1"/>
  <c r="N50" i="21" s="1"/>
  <c r="K12" i="21"/>
  <c r="H23" i="2"/>
  <c r="H25" i="2" s="1"/>
  <c r="H30" i="10"/>
  <c r="O37" i="19"/>
  <c r="K23" i="2"/>
  <c r="C19" i="17"/>
  <c r="J35" i="10" l="1"/>
  <c r="J37" i="10" s="1"/>
  <c r="J38" i="10" s="1"/>
  <c r="H4" i="23"/>
  <c r="K8" i="21"/>
  <c r="K50" i="21" s="1"/>
  <c r="C12" i="21"/>
  <c r="H20" i="19"/>
  <c r="H18" i="19" s="1"/>
  <c r="H32" i="10"/>
  <c r="K30" i="10"/>
  <c r="H44" i="10" l="1"/>
  <c r="H20" i="16" s="1"/>
  <c r="I16" i="24"/>
  <c r="N35" i="10"/>
  <c r="N37" i="10" s="1"/>
  <c r="K4" i="23"/>
  <c r="H6" i="23"/>
  <c r="H8" i="23" s="1"/>
  <c r="H11" i="23" s="1"/>
  <c r="H12" i="23"/>
  <c r="M15" i="21"/>
  <c r="M14" i="21" s="1"/>
  <c r="M50" i="21" s="1"/>
  <c r="J16" i="19"/>
  <c r="J10" i="19" s="1"/>
  <c r="J25" i="19" s="1"/>
  <c r="M63" i="21"/>
  <c r="M62" i="21" s="1"/>
  <c r="M81" i="21" s="1"/>
  <c r="C92" i="21"/>
  <c r="C8" i="21"/>
  <c r="C44" i="21" s="1"/>
  <c r="C46" i="21" s="1"/>
  <c r="H25" i="19"/>
  <c r="I9" i="19"/>
  <c r="N38" i="10"/>
  <c r="K20" i="19"/>
  <c r="AB20" i="19" s="1"/>
  <c r="AB30" i="10"/>
  <c r="K32" i="10"/>
  <c r="AB23" i="2"/>
  <c r="K25" i="2"/>
  <c r="AB25" i="2" s="1"/>
  <c r="H13" i="23" l="1"/>
  <c r="I44" i="10"/>
  <c r="J11" i="24" s="1"/>
  <c r="I11" i="24"/>
  <c r="J16" i="24"/>
  <c r="I17" i="24"/>
  <c r="I14" i="24" s="1"/>
  <c r="J9" i="19"/>
  <c r="I13" i="24"/>
  <c r="I4" i="24" s="1"/>
  <c r="K12" i="23"/>
  <c r="K6" i="23"/>
  <c r="K8" i="23" s="1"/>
  <c r="K11" i="23" s="1"/>
  <c r="C47" i="21"/>
  <c r="C94" i="21"/>
  <c r="D46" i="21"/>
  <c r="D94" i="21"/>
  <c r="J29" i="19"/>
  <c r="J47" i="19" s="1"/>
  <c r="J37" i="19"/>
  <c r="H29" i="19"/>
  <c r="H28" i="19"/>
  <c r="I28" i="19" s="1"/>
  <c r="J28" i="19" s="1"/>
  <c r="H37" i="19"/>
  <c r="H38" i="19" s="1"/>
  <c r="I38" i="19" s="1"/>
  <c r="N16" i="19"/>
  <c r="N10" i="19" s="1"/>
  <c r="N25" i="19" s="1"/>
  <c r="N29" i="19" s="1"/>
  <c r="N47" i="19" s="1"/>
  <c r="Q63" i="21"/>
  <c r="Q15" i="21"/>
  <c r="K18" i="19"/>
  <c r="AB18" i="19" s="1"/>
  <c r="AB32" i="10"/>
  <c r="K16" i="19"/>
  <c r="AB35" i="10"/>
  <c r="J13" i="24" l="1"/>
  <c r="J4" i="24" s="1"/>
  <c r="K9" i="19"/>
  <c r="I20" i="16"/>
  <c r="J44" i="10"/>
  <c r="J20" i="16" s="1"/>
  <c r="K16" i="24"/>
  <c r="J17" i="24"/>
  <c r="J14" i="24" s="1"/>
  <c r="K13" i="23"/>
  <c r="T83" i="21"/>
  <c r="F51" i="21"/>
  <c r="Y51" i="21"/>
  <c r="V82" i="21"/>
  <c r="N82" i="21"/>
  <c r="Z82" i="21"/>
  <c r="K83" i="21"/>
  <c r="S83" i="21"/>
  <c r="P82" i="21"/>
  <c r="G51" i="21"/>
  <c r="AC82" i="21"/>
  <c r="U83" i="21"/>
  <c r="AC83" i="21"/>
  <c r="H83" i="21"/>
  <c r="F82" i="21"/>
  <c r="Q83" i="21"/>
  <c r="S82" i="21"/>
  <c r="G83" i="21"/>
  <c r="L82" i="21"/>
  <c r="R82" i="21"/>
  <c r="R51" i="21"/>
  <c r="AC51" i="21"/>
  <c r="Z51" i="21"/>
  <c r="T82" i="21"/>
  <c r="I83" i="21"/>
  <c r="Z83" i="21"/>
  <c r="O83" i="21"/>
  <c r="AD83" i="21"/>
  <c r="AA83" i="21"/>
  <c r="AA82" i="21"/>
  <c r="AA51" i="21"/>
  <c r="J83" i="21"/>
  <c r="X83" i="21"/>
  <c r="N83" i="21"/>
  <c r="X51" i="21"/>
  <c r="AB82" i="21"/>
  <c r="M83" i="21"/>
  <c r="L51" i="21"/>
  <c r="U82" i="21"/>
  <c r="K82" i="21"/>
  <c r="AD51" i="21"/>
  <c r="H82" i="21"/>
  <c r="Y82" i="21"/>
  <c r="U51" i="21"/>
  <c r="L83" i="21"/>
  <c r="V51" i="21"/>
  <c r="V83" i="21"/>
  <c r="R83" i="21"/>
  <c r="O51" i="21"/>
  <c r="H51" i="21"/>
  <c r="O82" i="21"/>
  <c r="W51" i="21"/>
  <c r="AB83" i="21"/>
  <c r="AB51" i="21"/>
  <c r="Y83" i="21"/>
  <c r="W82" i="21"/>
  <c r="P83" i="21"/>
  <c r="F83" i="21"/>
  <c r="J51" i="21"/>
  <c r="J82" i="21"/>
  <c r="N51" i="21"/>
  <c r="AD82" i="21"/>
  <c r="T51" i="21"/>
  <c r="W83" i="21"/>
  <c r="G82" i="21"/>
  <c r="P51" i="21"/>
  <c r="X82" i="21"/>
  <c r="S51" i="21"/>
  <c r="I51" i="21"/>
  <c r="I82" i="21"/>
  <c r="K51" i="21"/>
  <c r="J38" i="19"/>
  <c r="H30" i="19"/>
  <c r="H47" i="19"/>
  <c r="H48" i="19" s="1"/>
  <c r="I48" i="19" s="1"/>
  <c r="J48" i="19" s="1"/>
  <c r="M82" i="21"/>
  <c r="M51" i="21"/>
  <c r="N37" i="19"/>
  <c r="Q62" i="21"/>
  <c r="C63" i="21"/>
  <c r="Q14" i="21"/>
  <c r="Q50" i="21" s="1"/>
  <c r="C15" i="21"/>
  <c r="C14" i="21" s="1"/>
  <c r="C93" i="21" s="1"/>
  <c r="AB16" i="19"/>
  <c r="K10" i="19"/>
  <c r="AB38" i="10"/>
  <c r="AB44" i="10" s="1"/>
  <c r="K44" i="10" l="1"/>
  <c r="L11" i="24" s="1"/>
  <c r="K11" i="24"/>
  <c r="K13" i="24" s="1"/>
  <c r="K4" i="24" s="1"/>
  <c r="L16" i="24"/>
  <c r="K17" i="24"/>
  <c r="K14" i="24" s="1"/>
  <c r="H31" i="19"/>
  <c r="I30" i="19"/>
  <c r="C83" i="21"/>
  <c r="D95" i="21" s="1"/>
  <c r="Q81" i="21"/>
  <c r="C62" i="21"/>
  <c r="D93" i="21" s="1"/>
  <c r="Q51" i="21"/>
  <c r="C51" i="21" s="1"/>
  <c r="C88" i="21" s="1"/>
  <c r="C50" i="21"/>
  <c r="C35" i="18"/>
  <c r="C22" i="18"/>
  <c r="K25" i="19"/>
  <c r="K29" i="19" s="1"/>
  <c r="D44" i="19" s="1"/>
  <c r="AB10" i="19"/>
  <c r="C51" i="19" s="1"/>
  <c r="C50" i="19" s="1"/>
  <c r="F3" i="19" s="1"/>
  <c r="L9" i="19"/>
  <c r="K20" i="16" l="1"/>
  <c r="L44" i="10"/>
  <c r="M11" i="24" s="1"/>
  <c r="M16" i="24"/>
  <c r="L17" i="24"/>
  <c r="L14" i="24" s="1"/>
  <c r="M9" i="19"/>
  <c r="L13" i="24"/>
  <c r="L4" i="24" s="1"/>
  <c r="I31" i="19"/>
  <c r="J30" i="19"/>
  <c r="J31" i="19" s="1"/>
  <c r="Q82" i="21"/>
  <c r="C82" i="21" s="1"/>
  <c r="D88" i="21" s="1"/>
  <c r="C81" i="21"/>
  <c r="K47" i="19"/>
  <c r="K37" i="19"/>
  <c r="K38" i="19" s="1"/>
  <c r="L38" i="19" s="1"/>
  <c r="M38" i="19" s="1"/>
  <c r="N38" i="19" s="1"/>
  <c r="O38" i="19" s="1"/>
  <c r="P38" i="19" s="1"/>
  <c r="Q38" i="19" s="1"/>
  <c r="R38" i="19" s="1"/>
  <c r="S38" i="19" s="1"/>
  <c r="T38" i="19" s="1"/>
  <c r="U38" i="19" s="1"/>
  <c r="V38" i="19" s="1"/>
  <c r="W38" i="19" s="1"/>
  <c r="X38" i="19" s="1"/>
  <c r="Y38" i="19" s="1"/>
  <c r="Z38" i="19" s="1"/>
  <c r="AA38" i="19" s="1"/>
  <c r="K28" i="19"/>
  <c r="L28" i="19" s="1"/>
  <c r="M28" i="19" s="1"/>
  <c r="N28" i="19" s="1"/>
  <c r="O28" i="19" s="1"/>
  <c r="P28" i="19" s="1"/>
  <c r="Q28" i="19" s="1"/>
  <c r="R28" i="19" s="1"/>
  <c r="S28" i="19" s="1"/>
  <c r="T28" i="19" s="1"/>
  <c r="U28" i="19" s="1"/>
  <c r="V28" i="19" s="1"/>
  <c r="W28" i="19" s="1"/>
  <c r="X28" i="19" s="1"/>
  <c r="Y28" i="19" s="1"/>
  <c r="Z28" i="19" s="1"/>
  <c r="AA28" i="19" s="1"/>
  <c r="AB25" i="19"/>
  <c r="L20" i="16" l="1"/>
  <c r="M44" i="10"/>
  <c r="N11" i="24" s="1"/>
  <c r="N16" i="24"/>
  <c r="M17" i="24"/>
  <c r="M14" i="24" s="1"/>
  <c r="N9" i="19"/>
  <c r="M13" i="24"/>
  <c r="M4" i="24" s="1"/>
  <c r="K30" i="19"/>
  <c r="K31" i="19" s="1"/>
  <c r="M20" i="16" l="1"/>
  <c r="N44" i="10"/>
  <c r="O11" i="24" s="1"/>
  <c r="O16" i="24"/>
  <c r="N17" i="24"/>
  <c r="N14" i="24" s="1"/>
  <c r="O9" i="19"/>
  <c r="N13" i="24"/>
  <c r="N4" i="24" s="1"/>
  <c r="L30" i="19"/>
  <c r="L31" i="19" s="1"/>
  <c r="K48" i="19"/>
  <c r="L48" i="19" s="1"/>
  <c r="M48" i="19" s="1"/>
  <c r="N48" i="19" s="1"/>
  <c r="O48" i="19" s="1"/>
  <c r="P48" i="19" s="1"/>
  <c r="Q48" i="19" s="1"/>
  <c r="R48" i="19" s="1"/>
  <c r="S48" i="19" s="1"/>
  <c r="T48" i="19" s="1"/>
  <c r="U48" i="19" s="1"/>
  <c r="V48" i="19" s="1"/>
  <c r="W48" i="19" s="1"/>
  <c r="X48" i="19" s="1"/>
  <c r="Y48" i="19" s="1"/>
  <c r="Z48" i="19" s="1"/>
  <c r="AA48" i="19" s="1"/>
  <c r="N20" i="16" l="1"/>
  <c r="O44" i="10"/>
  <c r="P11" i="24" s="1"/>
  <c r="P16" i="24"/>
  <c r="O17" i="24"/>
  <c r="O14" i="24" s="1"/>
  <c r="P9" i="19"/>
  <c r="O13" i="24"/>
  <c r="O4" i="24" s="1"/>
  <c r="M30" i="19"/>
  <c r="M31" i="19" s="1"/>
  <c r="O20" i="16" l="1"/>
  <c r="P44" i="10"/>
  <c r="Q11" i="24" s="1"/>
  <c r="Q16" i="24"/>
  <c r="P17" i="24"/>
  <c r="P14" i="24" s="1"/>
  <c r="Q9" i="19"/>
  <c r="P13" i="24"/>
  <c r="P4" i="24" s="1"/>
  <c r="N30" i="19"/>
  <c r="N31" i="19" s="1"/>
  <c r="P20" i="16" l="1"/>
  <c r="Q44" i="10"/>
  <c r="R11" i="24" s="1"/>
  <c r="R16" i="24"/>
  <c r="Q17" i="24"/>
  <c r="Q14" i="24" s="1"/>
  <c r="R9" i="19"/>
  <c r="Q13" i="24"/>
  <c r="Q4" i="24" s="1"/>
  <c r="O30" i="19"/>
  <c r="O31" i="19" s="1"/>
  <c r="Q20" i="16" l="1"/>
  <c r="R44" i="10"/>
  <c r="S11" i="24" s="1"/>
  <c r="S16" i="24"/>
  <c r="R17" i="24"/>
  <c r="R14" i="24" s="1"/>
  <c r="S9" i="19"/>
  <c r="R13" i="24"/>
  <c r="R4" i="24" s="1"/>
  <c r="P30" i="19"/>
  <c r="P31" i="19" s="1"/>
  <c r="R20" i="16" l="1"/>
  <c r="S44" i="10"/>
  <c r="T11" i="24" s="1"/>
  <c r="T16" i="24"/>
  <c r="S17" i="24"/>
  <c r="S14" i="24" s="1"/>
  <c r="T9" i="19"/>
  <c r="S13" i="24"/>
  <c r="S4" i="24" s="1"/>
  <c r="Q30" i="19"/>
  <c r="Q31" i="19" s="1"/>
  <c r="O39" i="19"/>
  <c r="S20" i="16" l="1"/>
  <c r="T44" i="10"/>
  <c r="U11" i="24" s="1"/>
  <c r="U16" i="24"/>
  <c r="T17" i="24"/>
  <c r="T14" i="24" s="1"/>
  <c r="U9" i="19"/>
  <c r="T13" i="24"/>
  <c r="T4" i="24" s="1"/>
  <c r="R30" i="19"/>
  <c r="R31" i="19" s="1"/>
  <c r="P39" i="19"/>
  <c r="T20" i="16" l="1"/>
  <c r="U44" i="10"/>
  <c r="V11" i="24" s="1"/>
  <c r="V16" i="24"/>
  <c r="U17" i="24"/>
  <c r="U14" i="24" s="1"/>
  <c r="V9" i="19"/>
  <c r="U13" i="24"/>
  <c r="U4" i="24" s="1"/>
  <c r="S30" i="19"/>
  <c r="S31" i="19" s="1"/>
  <c r="Q39" i="19"/>
  <c r="U20" i="16" l="1"/>
  <c r="V44" i="10"/>
  <c r="W11" i="24" s="1"/>
  <c r="W16" i="24"/>
  <c r="V17" i="24"/>
  <c r="V14" i="24" s="1"/>
  <c r="W9" i="19"/>
  <c r="V13" i="24"/>
  <c r="V4" i="24" s="1"/>
  <c r="T30" i="19"/>
  <c r="T31" i="19" s="1"/>
  <c r="R39" i="19"/>
  <c r="V20" i="16" l="1"/>
  <c r="W44" i="10"/>
  <c r="X11" i="24" s="1"/>
  <c r="X16" i="24"/>
  <c r="W17" i="24"/>
  <c r="W14" i="24" s="1"/>
  <c r="X9" i="19"/>
  <c r="W13" i="24"/>
  <c r="W4" i="24" s="1"/>
  <c r="U30" i="19"/>
  <c r="U31" i="19" s="1"/>
  <c r="S39" i="19"/>
  <c r="W20" i="16" l="1"/>
  <c r="X44" i="10"/>
  <c r="Y11" i="24" s="1"/>
  <c r="Y16" i="24"/>
  <c r="X17" i="24"/>
  <c r="X14" i="24" s="1"/>
  <c r="Y9" i="19"/>
  <c r="X13" i="24"/>
  <c r="X4" i="24" s="1"/>
  <c r="V30" i="19"/>
  <c r="V31" i="19" s="1"/>
  <c r="T39" i="19"/>
  <c r="X20" i="16" l="1"/>
  <c r="Y44" i="10"/>
  <c r="Z11" i="24" s="1"/>
  <c r="Z16" i="24"/>
  <c r="Y17" i="24"/>
  <c r="Y14" i="24" s="1"/>
  <c r="Z9" i="19"/>
  <c r="Y13" i="24"/>
  <c r="Y4" i="24" s="1"/>
  <c r="W30" i="19"/>
  <c r="W31" i="19" s="1"/>
  <c r="U39" i="19"/>
  <c r="Y20" i="16" l="1"/>
  <c r="Z44" i="10"/>
  <c r="AA11" i="24" s="1"/>
  <c r="AA16" i="24"/>
  <c r="Z17" i="24"/>
  <c r="Z14" i="24" s="1"/>
  <c r="AA9" i="19"/>
  <c r="Z13" i="24"/>
  <c r="Z4" i="24" s="1"/>
  <c r="X30" i="19"/>
  <c r="X31" i="19" s="1"/>
  <c r="V39" i="19"/>
  <c r="Z20" i="16" l="1"/>
  <c r="AA44" i="10"/>
  <c r="AB11" i="24" s="1"/>
  <c r="AB13" i="24" s="1"/>
  <c r="AB4" i="24" s="1"/>
  <c r="AB16" i="24"/>
  <c r="AB17" i="24" s="1"/>
  <c r="AA17" i="24"/>
  <c r="AA14" i="24" s="1"/>
  <c r="AA13" i="24"/>
  <c r="AA4" i="24" s="1"/>
  <c r="Y30" i="19"/>
  <c r="Y31" i="19" s="1"/>
  <c r="W39" i="19"/>
  <c r="C36" i="18" l="1"/>
  <c r="C26" i="18" s="1"/>
  <c r="C8" i="18" s="1"/>
  <c r="AA20" i="16"/>
  <c r="C23" i="18"/>
  <c r="C13" i="18" s="1"/>
  <c r="C7" i="18" s="1"/>
  <c r="AB14" i="24"/>
  <c r="Z30" i="19"/>
  <c r="AA30" i="19" s="1"/>
  <c r="AA31" i="19" s="1"/>
  <c r="X39" i="19"/>
  <c r="D26" i="21" l="1"/>
  <c r="M33" i="21" s="1"/>
  <c r="C9" i="18"/>
  <c r="C26" i="21" s="1"/>
  <c r="C27" i="21" s="1"/>
  <c r="Z31" i="19"/>
  <c r="C54" i="19" s="1"/>
  <c r="Y39" i="19"/>
  <c r="Z33" i="21" l="1"/>
  <c r="U33" i="21"/>
  <c r="F33" i="21"/>
  <c r="R33" i="21"/>
  <c r="O33" i="21"/>
  <c r="L33" i="21"/>
  <c r="D30" i="21"/>
  <c r="L37" i="21" s="1"/>
  <c r="G33" i="21"/>
  <c r="I33" i="21"/>
  <c r="J33" i="21"/>
  <c r="T33" i="21"/>
  <c r="AB33" i="21"/>
  <c r="AA33" i="21"/>
  <c r="W33" i="21"/>
  <c r="V33" i="21"/>
  <c r="Q33" i="21"/>
  <c r="D29" i="21"/>
  <c r="AA36" i="21" s="1"/>
  <c r="D27" i="21"/>
  <c r="W34" i="21" s="1"/>
  <c r="S33" i="21"/>
  <c r="N33" i="21"/>
  <c r="H33" i="21"/>
  <c r="P33" i="21"/>
  <c r="D28" i="21"/>
  <c r="F35" i="21" s="1"/>
  <c r="X33" i="21"/>
  <c r="Y33" i="21"/>
  <c r="AD33" i="21"/>
  <c r="AC33" i="21"/>
  <c r="K33" i="21"/>
  <c r="C29" i="21"/>
  <c r="C30" i="21"/>
  <c r="C28" i="21"/>
  <c r="AC37" i="21"/>
  <c r="P35" i="21"/>
  <c r="R34" i="21"/>
  <c r="Z39" i="19"/>
  <c r="W36" i="21" l="1"/>
  <c r="U35" i="21"/>
  <c r="O37" i="21"/>
  <c r="H37" i="21"/>
  <c r="AB37" i="21"/>
  <c r="AC35" i="21"/>
  <c r="P37" i="21"/>
  <c r="U37" i="21"/>
  <c r="T36" i="21"/>
  <c r="AC36" i="21"/>
  <c r="K36" i="21"/>
  <c r="M36" i="21"/>
  <c r="Q35" i="21"/>
  <c r="G37" i="21"/>
  <c r="K37" i="21"/>
  <c r="R37" i="21"/>
  <c r="S37" i="21"/>
  <c r="F36" i="21"/>
  <c r="R35" i="21"/>
  <c r="V35" i="21"/>
  <c r="T37" i="21"/>
  <c r="F37" i="21"/>
  <c r="J37" i="21"/>
  <c r="Q34" i="21"/>
  <c r="S34" i="21"/>
  <c r="L36" i="21"/>
  <c r="Z36" i="21"/>
  <c r="AD36" i="21"/>
  <c r="Q36" i="21"/>
  <c r="X36" i="21"/>
  <c r="O36" i="21"/>
  <c r="P36" i="21"/>
  <c r="S35" i="21"/>
  <c r="K35" i="21"/>
  <c r="AB35" i="21"/>
  <c r="Z37" i="21"/>
  <c r="AD37" i="21"/>
  <c r="I37" i="21"/>
  <c r="W37" i="21"/>
  <c r="X37" i="21"/>
  <c r="M37" i="21"/>
  <c r="J34" i="21"/>
  <c r="N35" i="21"/>
  <c r="L35" i="21"/>
  <c r="I35" i="21"/>
  <c r="Q37" i="21"/>
  <c r="Y37" i="21"/>
  <c r="N37" i="21"/>
  <c r="V37" i="21"/>
  <c r="AA37" i="21"/>
  <c r="C33" i="21"/>
  <c r="AD34" i="21"/>
  <c r="F34" i="21"/>
  <c r="X34" i="21"/>
  <c r="L34" i="21"/>
  <c r="M34" i="21"/>
  <c r="K34" i="21"/>
  <c r="G34" i="21"/>
  <c r="U34" i="21"/>
  <c r="G36" i="21"/>
  <c r="I36" i="21"/>
  <c r="N36" i="21"/>
  <c r="AB36" i="21"/>
  <c r="S36" i="21"/>
  <c r="H36" i="21"/>
  <c r="P34" i="21"/>
  <c r="O34" i="21"/>
  <c r="AB34" i="21"/>
  <c r="N34" i="21"/>
  <c r="Z34" i="21"/>
  <c r="I34" i="21"/>
  <c r="H34" i="21"/>
  <c r="V36" i="21"/>
  <c r="U36" i="21"/>
  <c r="J36" i="21"/>
  <c r="R36" i="21"/>
  <c r="R32" i="21" s="1"/>
  <c r="R52" i="21" s="1"/>
  <c r="Y36" i="21"/>
  <c r="M35" i="21"/>
  <c r="Y35" i="21"/>
  <c r="X35" i="21"/>
  <c r="W35" i="21"/>
  <c r="J35" i="21"/>
  <c r="AD35" i="21"/>
  <c r="T35" i="21"/>
  <c r="Y34" i="21"/>
  <c r="AC34" i="21"/>
  <c r="AC32" i="21" s="1"/>
  <c r="AC52" i="21" s="1"/>
  <c r="T34" i="21"/>
  <c r="AA34" i="21"/>
  <c r="V34" i="21"/>
  <c r="AA35" i="21"/>
  <c r="Z35" i="21"/>
  <c r="H35" i="21"/>
  <c r="G35" i="21"/>
  <c r="O35" i="21"/>
  <c r="C97" i="21"/>
  <c r="G3" i="19"/>
  <c r="AA39" i="19"/>
  <c r="C56" i="19" s="1"/>
  <c r="H3" i="19" s="1"/>
  <c r="C33" i="19"/>
  <c r="T32" i="21" l="1"/>
  <c r="T52" i="21" s="1"/>
  <c r="AB32" i="21"/>
  <c r="AB52" i="21" s="1"/>
  <c r="V32" i="21"/>
  <c r="V52" i="21" s="1"/>
  <c r="Y32" i="21"/>
  <c r="Y52" i="21" s="1"/>
  <c r="W32" i="21"/>
  <c r="W52" i="21" s="1"/>
  <c r="C35" i="21"/>
  <c r="C98" i="21" s="1"/>
  <c r="K32" i="21"/>
  <c r="K52" i="21" s="1"/>
  <c r="F32" i="21"/>
  <c r="F52" i="21" s="1"/>
  <c r="S32" i="21"/>
  <c r="S52" i="21" s="1"/>
  <c r="Q32" i="21"/>
  <c r="Q52" i="21" s="1"/>
  <c r="L32" i="21"/>
  <c r="L52" i="21" s="1"/>
  <c r="AD32" i="21"/>
  <c r="AD52" i="21" s="1"/>
  <c r="O32" i="21"/>
  <c r="O52" i="21" s="1"/>
  <c r="AA32" i="21"/>
  <c r="AA52" i="21" s="1"/>
  <c r="J32" i="21"/>
  <c r="J52" i="21" s="1"/>
  <c r="M32" i="21"/>
  <c r="M52" i="21" s="1"/>
  <c r="U32" i="21"/>
  <c r="U52" i="21" s="1"/>
  <c r="Z32" i="21"/>
  <c r="Z52" i="21" s="1"/>
  <c r="P32" i="21"/>
  <c r="P52" i="21" s="1"/>
  <c r="X32" i="21"/>
  <c r="X52" i="21" s="1"/>
  <c r="I32" i="21"/>
  <c r="I52" i="21" s="1"/>
  <c r="C37" i="21"/>
  <c r="C100" i="21" s="1"/>
  <c r="N32" i="21"/>
  <c r="N52" i="21" s="1"/>
  <c r="C36" i="21"/>
  <c r="C99" i="21" s="1"/>
  <c r="G32" i="21"/>
  <c r="G52" i="21" s="1"/>
  <c r="H32" i="21"/>
  <c r="H52" i="21" s="1"/>
  <c r="C34" i="21"/>
  <c r="C96" i="21" s="1"/>
  <c r="C3" i="19"/>
  <c r="C10" i="18" s="1"/>
  <c r="C41" i="19"/>
  <c r="D3" i="19" s="1"/>
  <c r="C52" i="21" l="1"/>
  <c r="C95" i="21" s="1"/>
  <c r="C101" i="21" s="1"/>
  <c r="C11" i="18" s="1"/>
  <c r="C32" i="21"/>
</calcChain>
</file>

<file path=xl/comments1.xml><?xml version="1.0" encoding="utf-8"?>
<comments xmlns="http://schemas.openxmlformats.org/spreadsheetml/2006/main">
  <authors>
    <author>Автор</author>
  </authors>
  <commentList>
    <comment ref="G40" authorId="0" shapeId="0">
      <text>
        <r>
          <rPr>
            <b/>
            <sz val="9"/>
            <color indexed="81"/>
            <rFont val="Tahoma"/>
            <family val="2"/>
            <charset val="204"/>
          </rPr>
          <t>В состав эксплуатационного платежа входит ндс 20%. Из этого НДС отнимаем входящий НДС от "Эксплуатация и ТО".
Остается НДС к уплате в бюджет.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44" authorId="0" shapeId="0">
      <text>
        <r>
          <rPr>
            <sz val="9"/>
            <color indexed="81"/>
            <rFont val="Tahoma"/>
            <family val="2"/>
            <charset val="204"/>
          </rPr>
          <t>Расчет при помощи анализа "что-если", "подбор параметра"</t>
        </r>
      </text>
    </comment>
    <comment ref="D44" authorId="0" shapeId="0">
      <text>
        <r>
          <rPr>
            <sz val="9"/>
            <color indexed="81"/>
            <rFont val="Tahoma"/>
            <family val="2"/>
            <charset val="204"/>
          </rPr>
          <t>Расчет встроенной функцией ВСД</t>
        </r>
      </text>
    </comment>
  </commentList>
</comments>
</file>

<file path=xl/sharedStrings.xml><?xml version="1.0" encoding="utf-8"?>
<sst xmlns="http://schemas.openxmlformats.org/spreadsheetml/2006/main" count="725" uniqueCount="446">
  <si>
    <t>Параметры</t>
  </si>
  <si>
    <t>к содержанию</t>
  </si>
  <si>
    <t>Прогнозный баланс по перидам прогнозирования</t>
  </si>
  <si>
    <t>Пронозный отчет о прибылях и убытках</t>
  </si>
  <si>
    <t>Социально-экономический эффект от Проекта</t>
  </si>
  <si>
    <r>
      <t xml:space="preserve">В соответствии с </t>
    </r>
    <r>
      <rPr>
        <b/>
        <sz val="11"/>
        <color theme="1"/>
        <rFont val="Calibri"/>
        <family val="2"/>
        <charset val="204"/>
        <scheme val="minor"/>
      </rPr>
      <t>п.12.9.1</t>
    </r>
    <r>
      <rPr>
        <sz val="11"/>
        <color theme="1"/>
        <rFont val="Calibri"/>
        <family val="2"/>
        <charset val="204"/>
        <scheme val="minor"/>
      </rPr>
      <t xml:space="preserve"> Приказа</t>
    </r>
  </si>
  <si>
    <r>
      <t xml:space="preserve">Расчет в соответствии с </t>
    </r>
    <r>
      <rPr>
        <b/>
        <sz val="11"/>
        <color theme="1"/>
        <rFont val="Calibri"/>
        <family val="2"/>
        <charset val="204"/>
        <scheme val="minor"/>
      </rPr>
      <t>п.18</t>
    </r>
    <r>
      <rPr>
        <sz val="11"/>
        <color theme="1"/>
        <rFont val="Calibri"/>
        <family val="2"/>
        <charset val="204"/>
        <scheme val="minor"/>
      </rPr>
      <t xml:space="preserve"> Приказа</t>
    </r>
  </si>
  <si>
    <t>Определение сравнительного преимущества Проекта</t>
  </si>
  <si>
    <r>
      <t xml:space="preserve">Производится расчет основных показателей эффективности Проекта для ЧИ: </t>
    </r>
    <r>
      <rPr>
        <b/>
        <sz val="11"/>
        <color theme="1"/>
        <rFont val="Calibri"/>
        <family val="2"/>
        <charset val="204"/>
        <scheme val="minor"/>
      </rPr>
      <t xml:space="preserve">NPV, PI, IRR, DPBP, DSCR. </t>
    </r>
    <r>
      <rPr>
        <sz val="11"/>
        <color theme="1"/>
        <rFont val="Calibri"/>
        <family val="2"/>
        <charset val="204"/>
        <scheme val="minor"/>
      </rPr>
      <t xml:space="preserve">Прогнозная фин. Отчетность согласно </t>
    </r>
    <r>
      <rPr>
        <b/>
        <sz val="11"/>
        <color theme="1"/>
        <rFont val="Calibri"/>
        <family val="2"/>
        <charset val="204"/>
        <scheme val="minor"/>
      </rPr>
      <t>п.12.8</t>
    </r>
    <r>
      <rPr>
        <sz val="11"/>
        <color theme="1"/>
        <rFont val="Calibri"/>
        <family val="2"/>
        <charset val="204"/>
        <scheme val="minor"/>
      </rPr>
      <t xml:space="preserve"> Приказа № 894 от 30.11.2015</t>
    </r>
  </si>
  <si>
    <t>Стоимость заемных средств</t>
  </si>
  <si>
    <t>Ставка дисконтирования для Публичного партнера</t>
  </si>
  <si>
    <t>Стоимость заемных средств для Публичного партнера</t>
  </si>
  <si>
    <t>Ставка дисконтирования для Инвестора</t>
  </si>
  <si>
    <t>WACC</t>
  </si>
  <si>
    <t>рубль РФ</t>
  </si>
  <si>
    <t>Длительность прогнозирования, лет</t>
  </si>
  <si>
    <t>Основные</t>
  </si>
  <si>
    <t>Налог на прибыль</t>
  </si>
  <si>
    <t>НДС</t>
  </si>
  <si>
    <t>Страховые взносы от ФОТ</t>
  </si>
  <si>
    <t>НДФЛ</t>
  </si>
  <si>
    <t>Строительство</t>
  </si>
  <si>
    <t>Поступление средств от займов и кредитов</t>
  </si>
  <si>
    <t>Выплаты % по займам и кредитам</t>
  </si>
  <si>
    <t>Гашение тела кредитов и займов</t>
  </si>
  <si>
    <t>1 кв. 2021</t>
  </si>
  <si>
    <t>2 кв. 2021</t>
  </si>
  <si>
    <t>3 кв. 2021</t>
  </si>
  <si>
    <t>4 кв. 2021</t>
  </si>
  <si>
    <t>1 кв. 2022</t>
  </si>
  <si>
    <t>2 кв. 2022</t>
  </si>
  <si>
    <t>3 кв. 2022</t>
  </si>
  <si>
    <t>4 кв. 2022</t>
  </si>
  <si>
    <t>1 кв. 2023</t>
  </si>
  <si>
    <t>2 кв. 2023</t>
  </si>
  <si>
    <t>3 кв. 2023</t>
  </si>
  <si>
    <t>4 кв. 2023</t>
  </si>
  <si>
    <t>1 кв. 2024</t>
  </si>
  <si>
    <t>2 кв. 2024</t>
  </si>
  <si>
    <t>3 кв. 2024</t>
  </si>
  <si>
    <t>4 кв. 2024</t>
  </si>
  <si>
    <t>1 кв. 2025</t>
  </si>
  <si>
    <t>2 кв. 2025</t>
  </si>
  <si>
    <t>3 кв. 2025</t>
  </si>
  <si>
    <t>4 кв. 2025</t>
  </si>
  <si>
    <t>1 кв. 2026</t>
  </si>
  <si>
    <t>2 кв. 2026</t>
  </si>
  <si>
    <t>3 кв. 2026</t>
  </si>
  <si>
    <t>4 кв. 2026</t>
  </si>
  <si>
    <t>Заработная плата</t>
  </si>
  <si>
    <t>Отчисления от ФОТ</t>
  </si>
  <si>
    <t>Бюджетное финансирование</t>
  </si>
  <si>
    <t>Инвестиционный платеж</t>
  </si>
  <si>
    <t>Эксплуатационный платеж</t>
  </si>
  <si>
    <t>Содержание и обслуживание здания</t>
  </si>
  <si>
    <r>
      <t>В соответствии с</t>
    </r>
    <r>
      <rPr>
        <b/>
        <sz val="11"/>
        <color theme="1"/>
        <rFont val="Calibri"/>
        <family val="2"/>
        <charset val="204"/>
        <scheme val="minor"/>
      </rPr>
      <t xml:space="preserve"> п.12.9.3</t>
    </r>
    <r>
      <rPr>
        <sz val="11"/>
        <color theme="1"/>
        <rFont val="Calibri"/>
        <family val="2"/>
        <charset val="204"/>
        <scheme val="minor"/>
      </rPr>
      <t xml:space="preserve"> Приказа</t>
    </r>
  </si>
  <si>
    <t>Остаток ДС</t>
  </si>
  <si>
    <t>ИТОГО</t>
  </si>
  <si>
    <t>Заемные средства</t>
  </si>
  <si>
    <t>Передача объекта Публичному партнеру</t>
  </si>
  <si>
    <t>Ед. изм.</t>
  </si>
  <si>
    <t>Шаг прогнозирования, мес.</t>
  </si>
  <si>
    <t>Общехозяйственные расходы</t>
  </si>
  <si>
    <t>Аренда земельного участка</t>
  </si>
  <si>
    <t>Эксплуатация и ТО</t>
  </si>
  <si>
    <t>Ключевая ставка ЦБ РФ</t>
  </si>
  <si>
    <t>Стоимость собственных средств Инвестора (акционерный займ)</t>
  </si>
  <si>
    <t>Стоимость заемных средств для Инвестора (% по кредиту банка)</t>
  </si>
  <si>
    <t>Индексация затрат</t>
  </si>
  <si>
    <t>Данные по проекту в текущих ценах</t>
  </si>
  <si>
    <t>Данные по проекту с учетом роста цен</t>
  </si>
  <si>
    <t>Тарифы страхования и гарантий</t>
  </si>
  <si>
    <t>Банковская гарантия по исполнению СМЧП</t>
  </si>
  <si>
    <t xml:space="preserve">Страхование сооружения </t>
  </si>
  <si>
    <t>Прогноз МЭР РФ до 2036г индекс роста цен</t>
  </si>
  <si>
    <t>№</t>
  </si>
  <si>
    <t>Должность</t>
  </si>
  <si>
    <t>Количество штатных единиц</t>
  </si>
  <si>
    <t>Оклад</t>
  </si>
  <si>
    <t>Всего в месяц, руб.</t>
  </si>
  <si>
    <t xml:space="preserve">ФОТ </t>
  </si>
  <si>
    <t>Руководитель проекта</t>
  </si>
  <si>
    <t>Юрист</t>
  </si>
  <si>
    <t>Главный инженер</t>
  </si>
  <si>
    <t>Главный бухгалтер</t>
  </si>
  <si>
    <t>Итого в месяц:</t>
  </si>
  <si>
    <t>Страховые взносы</t>
  </si>
  <si>
    <t>Финансист</t>
  </si>
  <si>
    <t>Районный коэффициент (к ФОТ)</t>
  </si>
  <si>
    <t>Расходы на эксплуатацию и ТО объекта</t>
  </si>
  <si>
    <r>
      <t>Коммунальные платежи осуществляет</t>
    </r>
    <r>
      <rPr>
        <b/>
        <sz val="11"/>
        <color theme="1"/>
        <rFont val="Calibri"/>
        <family val="2"/>
        <charset val="204"/>
        <scheme val="minor"/>
      </rPr>
      <t xml:space="preserve"> Оператор</t>
    </r>
  </si>
  <si>
    <t>Наименование</t>
  </si>
  <si>
    <t>Всего в месяц</t>
  </si>
  <si>
    <t>Средняя зарплата в месяц</t>
  </si>
  <si>
    <t>Застройщик в процессе эксплуатации осуществляет строительно-инспекционное ТО</t>
  </si>
  <si>
    <r>
      <rPr>
        <b/>
        <sz val="11"/>
        <color theme="1"/>
        <rFont val="Calibri"/>
        <family val="2"/>
        <charset val="204"/>
        <scheme val="minor"/>
      </rPr>
      <t>Оператором</t>
    </r>
    <r>
      <rPr>
        <sz val="11"/>
        <color theme="1"/>
        <rFont val="Calibri"/>
        <family val="2"/>
        <charset val="204"/>
        <scheme val="minor"/>
      </rPr>
      <t xml:space="preserve"> целевой эксплуатации является муниципальное образование Кудряши, либо уполномоченный им субъект</t>
    </r>
  </si>
  <si>
    <t>Описывает общие параметры посторения финансовой модели: валюта, ставки и типы дисконтирования, налоговые ставки, нормы амортизации, тарифы, длительность и периодичность прогнозирования</t>
  </si>
  <si>
    <t>Строительная смета</t>
  </si>
  <si>
    <t>Содержит детализацию  по видам строительно-монтажных работ</t>
  </si>
  <si>
    <t>Штатное расписание</t>
  </si>
  <si>
    <t>Штатное расписание на разные периоды СМЧП</t>
  </si>
  <si>
    <t>Раскрывает данные по расходам на эксплуатацию и ТО объекта</t>
  </si>
  <si>
    <t>Расчет арендной платы за земельный участок под объектом</t>
  </si>
  <si>
    <t>Кадастровая стоимость участка</t>
  </si>
  <si>
    <t>Ставка в % от кадастровой стоимости</t>
  </si>
  <si>
    <t>Площадь земельного участка (справочно), кв.м.</t>
  </si>
  <si>
    <t>Аренда земли</t>
  </si>
  <si>
    <t>Расчет арендной платы за земельный участок под застройкой</t>
  </si>
  <si>
    <t>Ставка арендной платы рассчитана согласно пп.3 п.3 Порядка определения арендной платы на</t>
  </si>
  <si>
    <t>земельные участки, находящиеся в собственности Новосибирского района НСО и предоставленные в аренду</t>
  </si>
  <si>
    <t>без торгов, утв. Решением Совета депутатов Новосиб. Района НСО №5 от 17.12.2015г.</t>
  </si>
  <si>
    <t>Индекс роста цен и зар. Платы</t>
  </si>
  <si>
    <t xml:space="preserve"> Предварительная оценка стоимости строительства спортивного комплекса площадью 1000 кв.м. с универсальным залом. в п. Кудряшовский, Новосибирского района, НСО</t>
  </si>
  <si>
    <t>Наименование работ</t>
  </si>
  <si>
    <t>Площадь</t>
  </si>
  <si>
    <t>Стоимость 1 ед</t>
  </si>
  <si>
    <t>Единица измерения</t>
  </si>
  <si>
    <t>1 кв 2021</t>
  </si>
  <si>
    <t>2 кв 2021</t>
  </si>
  <si>
    <t>3 кв 2021</t>
  </si>
  <si>
    <t>4 кв 2021</t>
  </si>
  <si>
    <t>1 кв 2022</t>
  </si>
  <si>
    <t>2 кв 2022</t>
  </si>
  <si>
    <t>3 кв 2022</t>
  </si>
  <si>
    <t>4 кв 2022</t>
  </si>
  <si>
    <t>ПРОЕКТ</t>
  </si>
  <si>
    <t>Проектные работы</t>
  </si>
  <si>
    <t>кв.м.</t>
  </si>
  <si>
    <t>Инженерно геологические изыскания</t>
  </si>
  <si>
    <t>скважины</t>
  </si>
  <si>
    <t>Экспертиза проекта</t>
  </si>
  <si>
    <t>Итого по разделу проект</t>
  </si>
  <si>
    <t>ЗДАНИЕ</t>
  </si>
  <si>
    <t>Арочная конструкция (Теплая)</t>
  </si>
  <si>
    <t>Репера, котлован, засыпка</t>
  </si>
  <si>
    <t>куб.м.</t>
  </si>
  <si>
    <t>Фундамент ленточный</t>
  </si>
  <si>
    <t>Подготовка основания и бетонирование пола (0,2м)</t>
  </si>
  <si>
    <t>Стяжка пола</t>
  </si>
  <si>
    <t>Металоконструкции</t>
  </si>
  <si>
    <t>тн</t>
  </si>
  <si>
    <t>Сендвич панели</t>
  </si>
  <si>
    <t>Кровля АБК</t>
  </si>
  <si>
    <t xml:space="preserve">Окна и двери </t>
  </si>
  <si>
    <t xml:space="preserve">Перегородки, отделка (стандарт), с/у, душевые </t>
  </si>
  <si>
    <t xml:space="preserve">Нащельники </t>
  </si>
  <si>
    <t>Цоколь, отмостка</t>
  </si>
  <si>
    <t>пг.м.</t>
  </si>
  <si>
    <t>Входная группа, эвакуационный выход</t>
  </si>
  <si>
    <t>шт.</t>
  </si>
  <si>
    <t>Итого по разделу здание</t>
  </si>
  <si>
    <t>ИНЖЕНЕРНЫЕ СЕТИ</t>
  </si>
  <si>
    <t>Вентиляция</t>
  </si>
  <si>
    <t>Электрика</t>
  </si>
  <si>
    <t>Отопление</t>
  </si>
  <si>
    <t>ВиК</t>
  </si>
  <si>
    <t>Слаботочные сети (ПС, ОС, Видеонаблюдение, связь)</t>
  </si>
  <si>
    <t>ИТП</t>
  </si>
  <si>
    <t>КИПиА</t>
  </si>
  <si>
    <t>Внешние сети, газ, вода, ЛОС, электроснабжение</t>
  </si>
  <si>
    <t>Итого по разделу инженерные сети</t>
  </si>
  <si>
    <t>РАЗНОЕ</t>
  </si>
  <si>
    <t>Благоустройство, парковка</t>
  </si>
  <si>
    <t>БТИ, топооснова</t>
  </si>
  <si>
    <t>к.в.м</t>
  </si>
  <si>
    <t>Покрытие универсального зала</t>
  </si>
  <si>
    <t>Трибуны для зрителей</t>
  </si>
  <si>
    <t>Итого по разделу разное</t>
  </si>
  <si>
    <t>ОБЩАЯ СУММА ИТОГО:</t>
  </si>
  <si>
    <t>Стоимость 1 кв.м. под ключ</t>
  </si>
  <si>
    <t>Проектно - изыскательские работы</t>
  </si>
  <si>
    <t>Возведение здания</t>
  </si>
  <si>
    <t>Инженерные сети</t>
  </si>
  <si>
    <t>Благоустройство и оснащение</t>
  </si>
  <si>
    <t>Сводные данные</t>
  </si>
  <si>
    <t>Содержит значения листа "Сводные данные", проиндексированные с учетом роста цен на работы, материалы и роста зарплат</t>
  </si>
  <si>
    <t>Сводные данные с индексацией</t>
  </si>
  <si>
    <t>ОДДС и показатели Инвестора</t>
  </si>
  <si>
    <t>Расчет расходов, дисконтированных расходов средств бюджетов, поступлений в бюджеты, объем обязательств Публичного партнера в случае возникновения рисков. Коэффициент сравнительного преимущества МЧП</t>
  </si>
  <si>
    <t>Параметры модели</t>
  </si>
  <si>
    <t>Налогообложение</t>
  </si>
  <si>
    <t>ПФР</t>
  </si>
  <si>
    <t>ФОМС</t>
  </si>
  <si>
    <t>ФСС</t>
  </si>
  <si>
    <t>Заемные средства Инвестора</t>
  </si>
  <si>
    <t>Акционерные займы</t>
  </si>
  <si>
    <t>Кредиты банков</t>
  </si>
  <si>
    <t>Комиссия</t>
  </si>
  <si>
    <t>Привлечено займов</t>
  </si>
  <si>
    <t>Погашение тела</t>
  </si>
  <si>
    <t>Выплата процентов</t>
  </si>
  <si>
    <t>Привлечено кредитов</t>
  </si>
  <si>
    <t>Задолженность на конец периода</t>
  </si>
  <si>
    <t>Задолженность</t>
  </si>
  <si>
    <t>1 кв.2021</t>
  </si>
  <si>
    <t>2 кв.2021</t>
  </si>
  <si>
    <t>3 кв.2021</t>
  </si>
  <si>
    <t>4 кв.2021</t>
  </si>
  <si>
    <t>1 кв.2022</t>
  </si>
  <si>
    <t>2 кв.2022</t>
  </si>
  <si>
    <t>3 кв.2022</t>
  </si>
  <si>
    <t>4 кв.2022</t>
  </si>
  <si>
    <t>1 кв.2023</t>
  </si>
  <si>
    <t>2 кв.2023</t>
  </si>
  <si>
    <t>3 кв.2023</t>
  </si>
  <si>
    <t>4 кв.2023</t>
  </si>
  <si>
    <t>1 кв.2024</t>
  </si>
  <si>
    <t>2 кв.2024</t>
  </si>
  <si>
    <t>3 кв.2024</t>
  </si>
  <si>
    <t>4 кв.2024</t>
  </si>
  <si>
    <t>1 кв.2025</t>
  </si>
  <si>
    <t>2 кв.2025</t>
  </si>
  <si>
    <t>3 кв.2025</t>
  </si>
  <si>
    <t>4 кв.2025</t>
  </si>
  <si>
    <t>1 кв.2026</t>
  </si>
  <si>
    <t>2 кв.2026</t>
  </si>
  <si>
    <t>3 кв.2026</t>
  </si>
  <si>
    <t>4 кв.2026</t>
  </si>
  <si>
    <t>Структура заемных средств, комиссии и проценты</t>
  </si>
  <si>
    <t>Получение бюджетного финансирования. Расчет инвестиционных и эксплуатационных платежей</t>
  </si>
  <si>
    <t>лист № 1</t>
  </si>
  <si>
    <t>Текущее финансирование</t>
  </si>
  <si>
    <t>Технический осмотр конструкций здания</t>
  </si>
  <si>
    <t>Техническое обслуживание здания Застройщиком</t>
  </si>
  <si>
    <t>ТО производится привлечением соответствующих экспертов (аутсорсинг)</t>
  </si>
  <si>
    <t>Технический осмотр инженерных систем</t>
  </si>
  <si>
    <t>Структура бюджетного финансирования</t>
  </si>
  <si>
    <t>Проценты на заемные средства</t>
  </si>
  <si>
    <t>Общехозяйственные расходы на инвестиционной фазе</t>
  </si>
  <si>
    <t>Общехозяйственные расходы на стадии эксплуатации</t>
  </si>
  <si>
    <t>Содержит распределенную по сроку прогнозирования деятельность Частного Инвестора: затраты на строительство, привлечение и обслуживание кредитов, административные расходы, поступления бюджетного финансирования, техническое обслуживание объекта</t>
  </si>
  <si>
    <t>Процентные расходы</t>
  </si>
  <si>
    <t>Плановая рентабельность Инвестора</t>
  </si>
  <si>
    <t>Итого расходы бюджетов</t>
  </si>
  <si>
    <t>Доходность к погашению по ОФЗ-25084-ПД (погашение 04.10.2023)</t>
  </si>
  <si>
    <t>Налог с оборота (УСН доходы-расходы)</t>
  </si>
  <si>
    <t>Сумма оплаты в год (НДС не облагается)</t>
  </si>
  <si>
    <t>Сумма, в мес. с НДС</t>
  </si>
  <si>
    <t>УСН 15%</t>
  </si>
  <si>
    <t>Доходы</t>
  </si>
  <si>
    <t>Расходы</t>
  </si>
  <si>
    <t>Уплата НДС</t>
  </si>
  <si>
    <t>Доходы-расходы с накоплением</t>
  </si>
  <si>
    <t>ввод в эксплуатацию</t>
  </si>
  <si>
    <t>Налоговые отчисления (УСН 15%)</t>
  </si>
  <si>
    <t>НДС 20%</t>
  </si>
  <si>
    <t>Налог на прибыль (УСН 15%)</t>
  </si>
  <si>
    <t>ТО начинается после сдачи объекта в эксплуатацию</t>
  </si>
  <si>
    <t>Содержание и обслуживание здания с НДС</t>
  </si>
  <si>
    <t>Возмещение расходов по обслуживанию здания (2 года)</t>
  </si>
  <si>
    <t>Проектирование, строительные работы и стройматериалы (с индексацией)</t>
  </si>
  <si>
    <t>НДС на стадии эксплуатации к уплате в бюджет</t>
  </si>
  <si>
    <t>Общая стоимость</t>
  </si>
  <si>
    <t>1 кв 2023</t>
  </si>
  <si>
    <t>1 кв.2027</t>
  </si>
  <si>
    <t>1 кв. 2027</t>
  </si>
  <si>
    <t>ФОТ (на 1 год)</t>
  </si>
  <si>
    <t>Проектирование и строительство</t>
  </si>
  <si>
    <t>DSCR</t>
  </si>
  <si>
    <t>Резюме показателей Инвестора</t>
  </si>
  <si>
    <t>Отчет о движении денежных средств</t>
  </si>
  <si>
    <t>Период</t>
  </si>
  <si>
    <t>номер периода</t>
  </si>
  <si>
    <t>Денежные средства на начало периода</t>
  </si>
  <si>
    <t>ДЕНЕЖНЫЕ ПОТОКИ ОТ ОПЕРАЦИОННОЙ ДЕЯТЕЛЬНОСТИ</t>
  </si>
  <si>
    <t>Поступление бюджетных субсидий по эксплуатации</t>
  </si>
  <si>
    <t>Прочие расходы (в т.ч. АХР)</t>
  </si>
  <si>
    <t>Налоги</t>
  </si>
  <si>
    <t>ДЕНЕЖНЫЕ ПОТОКИ ОТ ИНВЕСТИЦИОННОЙ ДЕЯТЕЛЬНОСТИ</t>
  </si>
  <si>
    <t>Поступление инвестиционных бюджетных субсидий</t>
  </si>
  <si>
    <t>ДЕНЕЖНЫЕ ПОТОКИ ОТ ФИНАНСОВОЙ ДЕЯТЕЛЬНОСТИ</t>
  </si>
  <si>
    <t>Получение займов</t>
  </si>
  <si>
    <t>Погашение займов</t>
  </si>
  <si>
    <t>ИТОГО ЧИСТЫЙ ДЕНЕЖНЫЙ ПОТОК</t>
  </si>
  <si>
    <t>Показатели инвестора</t>
  </si>
  <si>
    <r>
      <t xml:space="preserve">Расчет дисконтированного денежного потока: </t>
    </r>
    <r>
      <rPr>
        <b/>
        <sz val="14"/>
        <color theme="1"/>
        <rFont val="Calibri"/>
        <family val="2"/>
        <charset val="204"/>
        <scheme val="minor"/>
      </rPr>
      <t>NPV</t>
    </r>
  </si>
  <si>
    <t>Ставка дисконтирования Инвестора</t>
  </si>
  <si>
    <t>Ставка дисконтирования на период детализации</t>
  </si>
  <si>
    <t>Фактор дисконтирования</t>
  </si>
  <si>
    <t>Дисконтированный денежный поток</t>
  </si>
  <si>
    <t>Накопленный дисконтированный денежный поток (NPV)</t>
  </si>
  <si>
    <r>
      <t xml:space="preserve">Расчет индекса доходности на вложенный капитал: </t>
    </r>
    <r>
      <rPr>
        <b/>
        <sz val="14"/>
        <color theme="1"/>
        <rFont val="Calibri"/>
        <family val="2"/>
        <charset val="204"/>
        <scheme val="minor"/>
      </rPr>
      <t>PI</t>
    </r>
  </si>
  <si>
    <t>Объем инвестиций</t>
  </si>
  <si>
    <r>
      <t xml:space="preserve">Расчет внутренней нормы доходности </t>
    </r>
    <r>
      <rPr>
        <b/>
        <sz val="14"/>
        <color theme="1"/>
        <rFont val="Calibri"/>
        <family val="2"/>
        <charset val="204"/>
        <scheme val="minor"/>
      </rPr>
      <t>IRR</t>
    </r>
  </si>
  <si>
    <t xml:space="preserve"> Накопленный денежный поток (NPV)</t>
  </si>
  <si>
    <r>
      <t xml:space="preserve">Расчет покрытия долга </t>
    </r>
    <r>
      <rPr>
        <b/>
        <sz val="14"/>
        <color theme="1"/>
        <rFont val="Calibri"/>
        <family val="2"/>
        <charset val="204"/>
        <scheme val="minor"/>
      </rPr>
      <t>DSCR</t>
    </r>
    <r>
      <rPr>
        <sz val="14"/>
        <color theme="1"/>
        <rFont val="Calibri"/>
        <family val="2"/>
        <charset val="204"/>
        <scheme val="minor"/>
      </rPr>
      <t xml:space="preserve"> по денежному потоку</t>
    </r>
  </si>
  <si>
    <t>Денежные средства, доступные для обслуживания долга</t>
  </si>
  <si>
    <t>Общий долг с процентами</t>
  </si>
  <si>
    <r>
      <t xml:space="preserve">Расчет простого периода окупаемости </t>
    </r>
    <r>
      <rPr>
        <b/>
        <sz val="14"/>
        <color theme="1"/>
        <rFont val="Calibri"/>
        <family val="2"/>
        <charset val="204"/>
        <scheme val="minor"/>
      </rPr>
      <t>PP</t>
    </r>
  </si>
  <si>
    <t>лет</t>
  </si>
  <si>
    <r>
      <t xml:space="preserve">Расчет дисконтированного периода окупаемости </t>
    </r>
    <r>
      <rPr>
        <b/>
        <sz val="14"/>
        <color theme="1"/>
        <rFont val="Calibri"/>
        <family val="2"/>
        <charset val="204"/>
        <scheme val="minor"/>
      </rPr>
      <t>DPP</t>
    </r>
  </si>
  <si>
    <t>Техобслуживание и эксплуатация</t>
  </si>
  <si>
    <t>Процентные доходы</t>
  </si>
  <si>
    <t>Полная стоимость объекта, руб.</t>
  </si>
  <si>
    <t>Проценты по привлеченным займам</t>
  </si>
  <si>
    <t>Накопленный денежный поток</t>
  </si>
  <si>
    <t>Накопленный денежный поток без финансовой деятельности</t>
  </si>
  <si>
    <t>Денежный поток без финансовой деятельности</t>
  </si>
  <si>
    <t>Дисконтированный денежный поток без фин. Деятельности</t>
  </si>
  <si>
    <t>NPV, руб.</t>
  </si>
  <si>
    <t>фактор окупаемости для PP</t>
  </si>
  <si>
    <t>фактор окупаемости для DPP</t>
  </si>
  <si>
    <t>PI, %</t>
  </si>
  <si>
    <t>IRR, %</t>
  </si>
  <si>
    <t>PP , лет</t>
  </si>
  <si>
    <t>DPP , лет</t>
  </si>
  <si>
    <r>
      <t xml:space="preserve">Штатное расписание на период строительства </t>
    </r>
    <r>
      <rPr>
        <b/>
        <sz val="14"/>
        <color theme="1"/>
        <rFont val="Calibri"/>
        <family val="2"/>
        <charset val="204"/>
        <scheme val="minor"/>
      </rPr>
      <t>1 кв.2021 - 4 кв.2021</t>
    </r>
  </si>
  <si>
    <r>
      <t xml:space="preserve">Штатное расписание на период эксплуатации и ТО </t>
    </r>
    <r>
      <rPr>
        <b/>
        <sz val="14"/>
        <color theme="1"/>
        <rFont val="Calibri"/>
        <family val="2"/>
        <charset val="204"/>
        <scheme val="minor"/>
      </rPr>
      <t>1 кв.2022 - 4 кв.2023</t>
    </r>
  </si>
  <si>
    <t>Группа предприятий "СибПроект Девелопмент"</t>
  </si>
  <si>
    <t>г. Новосибирск, пр. Карла Маркса 57, оф. 801.</t>
  </si>
  <si>
    <t xml:space="preserve">финансовая модель </t>
  </si>
  <si>
    <t>Проект создания спортивного объекта в МО "Кудряшовский сельсовет"</t>
  </si>
  <si>
    <t xml:space="preserve"> в форме Муниципально-частного партнерства</t>
  </si>
  <si>
    <t>Новосибирского района Новосибирской области</t>
  </si>
  <si>
    <t>Структура финансовой модели</t>
  </si>
  <si>
    <t>Оценка финансовой составляющей проекта</t>
  </si>
  <si>
    <t>методом дисконтированных денежных потоков</t>
  </si>
  <si>
    <t>Площаль земельного участка под объект, кв.м.</t>
  </si>
  <si>
    <t>Площадь объекта, кв.м</t>
  </si>
  <si>
    <t>Срок проектирования и строительства, лет</t>
  </si>
  <si>
    <t>Срок соглашения МЧП, лет</t>
  </si>
  <si>
    <t>Вклад Публичного партнера, руб.</t>
  </si>
  <si>
    <t>Вклад Частного партнера, руб.</t>
  </si>
  <si>
    <t>Денежный поток Инвестора NPV, руб.</t>
  </si>
  <si>
    <t>Коэффиц. Сравнительного преимущества, %</t>
  </si>
  <si>
    <t>Детализация стоимости объекта, руб.</t>
  </si>
  <si>
    <t>Стоимость объекта для Публичного партнера системы, руб.</t>
  </si>
  <si>
    <t>Основные показатели Проекта</t>
  </si>
  <si>
    <t>период</t>
  </si>
  <si>
    <t>№ периода</t>
  </si>
  <si>
    <t>Доходы и расходы бюджетов в формате МЧП, руб.</t>
  </si>
  <si>
    <t>расходы бюджета</t>
  </si>
  <si>
    <t>Проектирование и подготовительные мероприятия</t>
  </si>
  <si>
    <t>Создание объекта соглашения</t>
  </si>
  <si>
    <t>Целевая эксплуатация и техническое обслуживание объекта соглашения</t>
  </si>
  <si>
    <t>Прочие</t>
  </si>
  <si>
    <t>доходы бюджета</t>
  </si>
  <si>
    <t>налоговые поступления</t>
  </si>
  <si>
    <t>неналоговые поступления</t>
  </si>
  <si>
    <t>мин</t>
  </si>
  <si>
    <t>макс</t>
  </si>
  <si>
    <t>Риски проектирования и подготовительных мероприятий</t>
  </si>
  <si>
    <t>Риски создания объекта соглашения</t>
  </si>
  <si>
    <t>Риски эксплуатации объекта соглашения</t>
  </si>
  <si>
    <t>Риски получения доходов от использования объекта соглашения</t>
  </si>
  <si>
    <t>Прочие риски</t>
  </si>
  <si>
    <t>Значения рисков расхода бюджета</t>
  </si>
  <si>
    <t>Получение доходов от использования объекта соглашения</t>
  </si>
  <si>
    <t>Расчет ставки дисконтирования</t>
  </si>
  <si>
    <t>Доходность к погашению облигаций Новосибирской области</t>
  </si>
  <si>
    <t>Средневзвешенная процентная ставка по заимствованиям от ФО, привлекаемым для реализации проекта</t>
  </si>
  <si>
    <t>Сумма средств бюджета РФ, привлекаемых для реализации проекта</t>
  </si>
  <si>
    <t>Сумма средств бюджетов субъекта РФ, используемых для реализации проекта</t>
  </si>
  <si>
    <t>Сумма средств, привлекаемых посредством заимствований ФО для реализации проекта</t>
  </si>
  <si>
    <t>Ставка дисконтирования</t>
  </si>
  <si>
    <t>Ставка дисконтирования в квартал</t>
  </si>
  <si>
    <t>Дисконтирование</t>
  </si>
  <si>
    <t>Чистые расходы бюджетов средств бюджетов бюджетной системы РФ</t>
  </si>
  <si>
    <t>Чистые дисконтированные расходы средств бюджетов бюджетной системы РФ</t>
  </si>
  <si>
    <t>Чистые дисконтированные риски бюджета</t>
  </si>
  <si>
    <t>Доходы и расходы бюджетов в формате госконтракта, руб.</t>
  </si>
  <si>
    <t>Расходы бюджета</t>
  </si>
  <si>
    <t>Доходы бюджета</t>
  </si>
  <si>
    <t>Налоговые поступления</t>
  </si>
  <si>
    <t>Неналоговые поступления</t>
  </si>
  <si>
    <t>Расчет коэффициента сравнительного преимущества проекта</t>
  </si>
  <si>
    <t>№
п/п</t>
  </si>
  <si>
    <t>Наименование показателя</t>
  </si>
  <si>
    <t>При реализации проекта МЧП</t>
  </si>
  <si>
    <t>При реализации государственного контракта</t>
  </si>
  <si>
    <t>Чистые дисконтированные расходы средств бюджетов бюджетной системы Российской Федерации</t>
  </si>
  <si>
    <t>Расходы средств бюджетов бюджетной системы Российской Федерации на создание объекта</t>
  </si>
  <si>
    <t>Расходы средств бюджетов бюджетной системы Российской Федерации на эксплуатацию и техническое обслуживание объекта</t>
  </si>
  <si>
    <t>Расходы средств бюджетов бюджетной системы Российской Федерации на проектирование и подготовительные мероприятия</t>
  </si>
  <si>
    <t>Прочие расходы средств бюджетов бюджетной системы Российской Федерации</t>
  </si>
  <si>
    <t>Поступления в бюджеты бюджетной системы Российской Федерации</t>
  </si>
  <si>
    <t>Ставка дисконтирования расходов и поступлений средств бюджетов бюджетной системы Российской Федерации</t>
  </si>
  <si>
    <t>Риски создания объекта</t>
  </si>
  <si>
    <t>Риски эксплуатации объекта</t>
  </si>
  <si>
    <t>Риски получения доходов от использования объекта</t>
  </si>
  <si>
    <t>Коэффициент сравнительного преимущества проекта</t>
  </si>
  <si>
    <t>Виды рисков, %</t>
  </si>
  <si>
    <t>значение</t>
  </si>
  <si>
    <t>Распределение рисков в Проекте  МЧП</t>
  </si>
  <si>
    <t>Инвестор</t>
  </si>
  <si>
    <t>Бюджет</t>
  </si>
  <si>
    <t>Дисконтированные риски бюджета</t>
  </si>
  <si>
    <t>контакты: тел. 383-346-45-34, 8-913-387-99-08  info@gpspd.ru</t>
  </si>
  <si>
    <t>Количество спортивных объектов, расположенных на территории района (приращение  за период 2019 - 2023 годы)</t>
  </si>
  <si>
    <t>Общая площадь плоскостных спортивных сооружений, расположенных на территории района (приращение за период 2019 - 2023 годы)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</si>
  <si>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 (утв. Пост. Администрации Новосибирского района Новосибирской области № 298-па от 26.03.2019), Приложение 1 "Цели, задачи и целевые индикаторы", п.1.1 "Развитие материально-технической базы спорта..."</t>
  </si>
  <si>
    <t>Количество спортивных объектов (построенных в 2022 году )</t>
  </si>
  <si>
    <t>Единовременная пропускная способность объектов спорта, чел.</t>
  </si>
  <si>
    <t>Государственная программа Новосибирской области "Развитие физической культуры и спорта в Новосибирской области" (в ред. Пост. Правительства Новосибирской области № 252-п от 02.07.2019) Приложение №1 "Цели,задачи и целевые индикаторы", задача 2. Развитие инфраструктуры..."</t>
  </si>
  <si>
    <t>Удельный вклад Проекта в целевое значение</t>
  </si>
  <si>
    <t>Вклад Проекта в достижение целевого показателя</t>
  </si>
  <si>
    <t>Целевое значение согласно Программы</t>
  </si>
  <si>
    <t>Показатель</t>
  </si>
  <si>
    <t>Наименование Программы</t>
  </si>
  <si>
    <t>Количественные показатели вклада Проекта в достижение целевых значений Областной и Районной Программ</t>
  </si>
  <si>
    <t>соответствует</t>
  </si>
  <si>
    <t>Развитие спорта высших достижений</t>
  </si>
  <si>
    <t>3.Развитие спорта высших достижений и совершенствование системы подготовки спортивного резерва в Новосибирской области</t>
  </si>
  <si>
    <t>Увеличение спортивной инфраструктуры</t>
  </si>
  <si>
    <t>1. Развитие материально-технической базы спорта в Новосибирском районе Новосибирской области</t>
  </si>
  <si>
    <t>2. Развитие инфраструктуры физической культуры и спорта в Новосибирской области, в том числе для лиц с ограниченными возможностями здоровья и инвалидов</t>
  </si>
  <si>
    <t>Привлечение населения к здоровому образу жизни</t>
  </si>
  <si>
    <t>2. Пропаганда здорового образа жизни населения Новосибирского района Новосибирской области</t>
  </si>
  <si>
    <t>1. Повышение мотивации жителей Новосибирской области к регулярным занятиям физической культурой и спортом и ведению здорового образа жизни, в том числе для лиц с ограниченными возможностями здоровья и инвалидов</t>
  </si>
  <si>
    <t xml:space="preserve">Соответствие задач и целей Проекта целям и задачам государственных программ </t>
  </si>
  <si>
    <t>Цели и задачи Проекта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</si>
  <si>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 (утв. Пост. Администрации Новосибирского района Новосибирской области № 298-па от 26.03.2019)</t>
  </si>
  <si>
    <t>Государственная программа Новосибирской области "Развитие физической культуры и спорта в Новосибирской области" (в ред. Пост. Правительства Новосибирской области № 252-п от 02.07.2019)</t>
  </si>
  <si>
    <t>Установление качественного соответствия целей и задач проекта целям и задачам государственных программ</t>
  </si>
  <si>
    <t>Оценка социально-экономического эффекта от реализации проекта</t>
  </si>
  <si>
    <t>Прогнозный отчет о прибылях и убытках</t>
  </si>
  <si>
    <t>Выручка (2110)</t>
  </si>
  <si>
    <t>Расходы на строительство и эксплуатацию (2120)</t>
  </si>
  <si>
    <t>Валовая прибыль (2100)</t>
  </si>
  <si>
    <t>Управленческие расходы (2220)</t>
  </si>
  <si>
    <t>Прибыль EBITDA (2200)</t>
  </si>
  <si>
    <t>Проценты к уплате (2330)</t>
  </si>
  <si>
    <t>Прочие расходы (2350)</t>
  </si>
  <si>
    <t>Прибыль до налогообложения  (2300)</t>
  </si>
  <si>
    <t>Чистая прибыль</t>
  </si>
  <si>
    <t>Прогнозный баланс</t>
  </si>
  <si>
    <t>Актив</t>
  </si>
  <si>
    <t>раздел 1.  Внеоборотные активы</t>
  </si>
  <si>
    <t>Нематериальные активы</t>
  </si>
  <si>
    <t>Основные средства</t>
  </si>
  <si>
    <t>Итого по разделу 1</t>
  </si>
  <si>
    <t>раздел 2. Оборотные активы</t>
  </si>
  <si>
    <t>Дебиторская задолженность</t>
  </si>
  <si>
    <t>Денежные средства</t>
  </si>
  <si>
    <t>Запасы</t>
  </si>
  <si>
    <t>Итого по разделу 2</t>
  </si>
  <si>
    <t>Пассив</t>
  </si>
  <si>
    <t>раздел 3. Капитал и резервы</t>
  </si>
  <si>
    <t>нераспределенная прибыль(убыток)</t>
  </si>
  <si>
    <t>Итого по разделу 3</t>
  </si>
  <si>
    <t>раздел 4. Обязательства</t>
  </si>
  <si>
    <t>Итого по разделу 4</t>
  </si>
  <si>
    <t>Расчет сравнительного преимущества Проекта KVfM</t>
  </si>
  <si>
    <t>Налог на прибыль (УСН 15%) (2460)</t>
  </si>
  <si>
    <t>Банковская гарантия</t>
  </si>
  <si>
    <t>Доходность к погашению ОФЗ-25084-ПД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</si>
</sst>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0&quot;р.&quot;;[Red]\-#,##0.00&quot;р.&quot;"/>
    <numFmt numFmtId="165" formatCode="_-* #,##0\ _₽_-;\-* #,##0\ _₽_-;_-* &quot;-&quot;??\ _₽_-;_-@_-"/>
    <numFmt numFmtId="166" formatCode="#,##0.0000"/>
    <numFmt numFmtId="167" formatCode="#,##0_ ;\-#,##0\ "/>
    <numFmt numFmtId="168" formatCode="_-* #,##0_р_._-;\-* #,##0_р_._-;_-* &quot;-&quot;??_р_._-;_-@_-"/>
    <numFmt numFmtId="169" formatCode="0.0000%"/>
    <numFmt numFmtId="170" formatCode="#,##0.0"/>
    <numFmt numFmtId="171" formatCode="#,##0.00_);[Red]\(#,##0.00\);\-"/>
    <numFmt numFmtId="172" formatCode="#,##0;[Red]#,##0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8"/>
      <color theme="0" tint="-0.49998474074526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76">
    <xf numFmtId="0" fontId="0" fillId="0" borderId="0" xfId="0"/>
    <xf numFmtId="0" fontId="2" fillId="0" borderId="0" xfId="1" applyAlignment="1" applyProtection="1"/>
    <xf numFmtId="0" fontId="0" fillId="0" borderId="0" xfId="0" applyAlignment="1"/>
    <xf numFmtId="0" fontId="0" fillId="0" borderId="0" xfId="0" applyAlignment="1">
      <alignment horizontal="left" vertical="distributed" indent="1"/>
    </xf>
    <xf numFmtId="0" fontId="0" fillId="0" borderId="0" xfId="0" applyBorder="1" applyAlignment="1">
      <alignment horizontal="left" vertical="distributed" wrapText="1"/>
    </xf>
    <xf numFmtId="0" fontId="0" fillId="0" borderId="0" xfId="0" applyBorder="1"/>
    <xf numFmtId="0" fontId="0" fillId="0" borderId="1" xfId="0" applyBorder="1" applyAlignment="1">
      <alignment horizontal="left" vertical="distributed" wrapText="1"/>
    </xf>
    <xf numFmtId="0" fontId="2" fillId="0" borderId="1" xfId="1" applyBorder="1" applyAlignment="1" applyProtection="1">
      <alignment vertical="center" wrapText="1"/>
    </xf>
    <xf numFmtId="0" fontId="2" fillId="0" borderId="2" xfId="1" applyBorder="1" applyAlignment="1" applyProtection="1">
      <alignment vertical="center" wrapText="1"/>
    </xf>
    <xf numFmtId="0" fontId="0" fillId="0" borderId="2" xfId="0" applyBorder="1" applyAlignment="1">
      <alignment horizontal="left" vertical="distributed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distributed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distributed" wrapText="1" indent="1"/>
    </xf>
    <xf numFmtId="0" fontId="3" fillId="0" borderId="0" xfId="0" applyFont="1" applyAlignment="1"/>
    <xf numFmtId="0" fontId="3" fillId="0" borderId="0" xfId="0" applyFont="1"/>
    <xf numFmtId="0" fontId="0" fillId="0" borderId="4" xfId="0" applyBorder="1" applyAlignment="1">
      <alignment wrapText="1"/>
    </xf>
    <xf numFmtId="0" fontId="0" fillId="0" borderId="4" xfId="0" applyBorder="1"/>
    <xf numFmtId="0" fontId="1" fillId="0" borderId="4" xfId="0" applyFont="1" applyBorder="1" applyAlignment="1">
      <alignment wrapText="1"/>
    </xf>
    <xf numFmtId="0" fontId="0" fillId="0" borderId="4" xfId="0" applyFill="1" applyBorder="1"/>
    <xf numFmtId="0" fontId="0" fillId="2" borderId="4" xfId="0" applyFill="1" applyBorder="1"/>
    <xf numFmtId="10" fontId="0" fillId="2" borderId="4" xfId="0" applyNumberFormat="1" applyFill="1" applyBorder="1"/>
    <xf numFmtId="10" fontId="0" fillId="0" borderId="4" xfId="0" applyNumberFormat="1" applyBorder="1"/>
    <xf numFmtId="0" fontId="3" fillId="0" borderId="0" xfId="0" applyNumberFormat="1" applyFont="1" applyAlignment="1">
      <alignment wrapText="1"/>
    </xf>
    <xf numFmtId="0" fontId="0" fillId="0" borderId="4" xfId="0" applyBorder="1" applyAlignment="1">
      <alignment vertical="center" wrapText="1"/>
    </xf>
    <xf numFmtId="3" fontId="0" fillId="2" borderId="4" xfId="0" applyNumberFormat="1" applyFill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Font="1" applyBorder="1"/>
    <xf numFmtId="0" fontId="6" fillId="0" borderId="0" xfId="1" applyFont="1" applyAlignment="1" applyProtection="1"/>
    <xf numFmtId="0" fontId="3" fillId="0" borderId="0" xfId="0" applyFont="1" applyBorder="1"/>
    <xf numFmtId="0" fontId="3" fillId="0" borderId="0" xfId="0" applyNumberFormat="1" applyFont="1" applyBorder="1" applyAlignment="1">
      <alignment wrapText="1"/>
    </xf>
    <xf numFmtId="0" fontId="0" fillId="0" borderId="0" xfId="0" applyFill="1" applyBorder="1"/>
    <xf numFmtId="3" fontId="0" fillId="4" borderId="0" xfId="0" applyNumberFormat="1" applyFill="1"/>
    <xf numFmtId="10" fontId="0" fillId="6" borderId="4" xfId="0" applyNumberFormat="1" applyFill="1" applyBorder="1"/>
    <xf numFmtId="0" fontId="3" fillId="0" borderId="4" xfId="0" applyFont="1" applyBorder="1"/>
    <xf numFmtId="166" fontId="0" fillId="0" borderId="4" xfId="0" applyNumberFormat="1" applyBorder="1"/>
    <xf numFmtId="0" fontId="0" fillId="7" borderId="4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3" fontId="7" fillId="2" borderId="4" xfId="0" applyNumberFormat="1" applyFont="1" applyFill="1" applyBorder="1" applyAlignment="1">
      <alignment horizontal="center" vertical="center" wrapText="1"/>
    </xf>
    <xf numFmtId="3" fontId="0" fillId="0" borderId="4" xfId="3" applyNumberFormat="1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horizontal="center" vertical="center" wrapText="1"/>
    </xf>
    <xf numFmtId="3" fontId="0" fillId="3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Fill="1" applyAlignment="1">
      <alignment vertical="center" wrapText="1"/>
    </xf>
    <xf numFmtId="1" fontId="0" fillId="2" borderId="4" xfId="0" applyNumberFormat="1" applyFill="1" applyBorder="1" applyAlignment="1">
      <alignment horizontal="center" vertical="center"/>
    </xf>
    <xf numFmtId="3" fontId="0" fillId="4" borderId="4" xfId="0" applyNumberFormat="1" applyFill="1" applyBorder="1"/>
    <xf numFmtId="0" fontId="0" fillId="3" borderId="5" xfId="0" applyFont="1" applyFill="1" applyBorder="1" applyAlignment="1">
      <alignment horizontal="center" vertical="center" wrapText="1"/>
    </xf>
    <xf numFmtId="4" fontId="0" fillId="3" borderId="5" xfId="0" applyNumberFormat="1" applyFont="1" applyFill="1" applyBorder="1" applyAlignment="1">
      <alignment horizontal="center" vertical="center" wrapText="1"/>
    </xf>
    <xf numFmtId="3" fontId="0" fillId="3" borderId="5" xfId="0" applyNumberFormat="1" applyFont="1" applyFill="1" applyBorder="1" applyAlignment="1">
      <alignment horizontal="center" vertical="center" wrapText="1"/>
    </xf>
    <xf numFmtId="3" fontId="0" fillId="0" borderId="7" xfId="2" applyNumberFormat="1" applyFont="1" applyFill="1" applyBorder="1" applyAlignment="1">
      <alignment vertical="center" wrapText="1"/>
    </xf>
    <xf numFmtId="167" fontId="0" fillId="0" borderId="7" xfId="2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10" fillId="0" borderId="10" xfId="0" applyFont="1" applyFill="1" applyBorder="1"/>
    <xf numFmtId="0" fontId="10" fillId="0" borderId="11" xfId="0" applyFont="1" applyFill="1" applyBorder="1" applyAlignment="1">
      <alignment vertical="center"/>
    </xf>
    <xf numFmtId="3" fontId="10" fillId="0" borderId="11" xfId="0" applyNumberFormat="1" applyFont="1" applyFill="1" applyBorder="1" applyAlignment="1">
      <alignment vertical="center"/>
    </xf>
    <xf numFmtId="3" fontId="10" fillId="0" borderId="12" xfId="0" applyNumberFormat="1" applyFont="1" applyFill="1" applyBorder="1" applyAlignment="1">
      <alignment vertical="center"/>
    </xf>
    <xf numFmtId="0" fontId="10" fillId="0" borderId="11" xfId="0" applyFont="1" applyFill="1" applyBorder="1"/>
    <xf numFmtId="3" fontId="10" fillId="0" borderId="11" xfId="0" applyNumberFormat="1" applyFont="1" applyFill="1" applyBorder="1"/>
    <xf numFmtId="3" fontId="10" fillId="0" borderId="11" xfId="5" applyNumberFormat="1" applyFont="1" applyFill="1" applyBorder="1"/>
    <xf numFmtId="3" fontId="10" fillId="0" borderId="12" xfId="5" applyNumberFormat="1" applyFont="1" applyFill="1" applyBorder="1"/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165" fontId="0" fillId="0" borderId="12" xfId="5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0" fontId="0" fillId="0" borderId="4" xfId="0" applyFont="1" applyBorder="1" applyAlignment="1">
      <alignment horizontal="left" vertical="center"/>
    </xf>
    <xf numFmtId="3" fontId="0" fillId="0" borderId="4" xfId="5" applyNumberFormat="1" applyFont="1" applyBorder="1" applyAlignment="1">
      <alignment horizontal="center" vertical="center"/>
    </xf>
    <xf numFmtId="3" fontId="0" fillId="0" borderId="4" xfId="5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3" fontId="0" fillId="0" borderId="6" xfId="5" applyNumberFormat="1" applyFont="1" applyBorder="1" applyAlignment="1">
      <alignment horizontal="center" vertical="center" wrapText="1"/>
    </xf>
    <xf numFmtId="3" fontId="0" fillId="0" borderId="15" xfId="5" applyNumberFormat="1" applyFont="1" applyBorder="1"/>
    <xf numFmtId="3" fontId="0" fillId="0" borderId="16" xfId="5" applyNumberFormat="1" applyFont="1" applyBorder="1"/>
    <xf numFmtId="0" fontId="0" fillId="0" borderId="13" xfId="0" applyFont="1" applyBorder="1"/>
    <xf numFmtId="3" fontId="0" fillId="0" borderId="4" xfId="5" applyNumberFormat="1" applyFont="1" applyBorder="1"/>
    <xf numFmtId="168" fontId="0" fillId="0" borderId="4" xfId="5" applyNumberFormat="1" applyFont="1" applyBorder="1"/>
    <xf numFmtId="3" fontId="0" fillId="0" borderId="6" xfId="5" applyNumberFormat="1" applyFont="1" applyBorder="1"/>
    <xf numFmtId="0" fontId="0" fillId="0" borderId="14" xfId="0" applyFont="1" applyBorder="1"/>
    <xf numFmtId="0" fontId="0" fillId="0" borderId="4" xfId="0" applyFont="1" applyBorder="1" applyAlignment="1"/>
    <xf numFmtId="168" fontId="0" fillId="0" borderId="15" xfId="5" applyNumberFormat="1" applyFont="1" applyBorder="1"/>
    <xf numFmtId="0" fontId="0" fillId="0" borderId="15" xfId="0" applyFont="1" applyFill="1" applyBorder="1"/>
    <xf numFmtId="0" fontId="0" fillId="2" borderId="17" xfId="0" applyFont="1" applyFill="1" applyBorder="1"/>
    <xf numFmtId="0" fontId="0" fillId="2" borderId="4" xfId="0" applyFont="1" applyFill="1" applyBorder="1"/>
    <xf numFmtId="3" fontId="0" fillId="2" borderId="17" xfId="0" applyNumberFormat="1" applyFont="1" applyFill="1" applyBorder="1"/>
    <xf numFmtId="3" fontId="0" fillId="2" borderId="4" xfId="0" applyNumberFormat="1" applyFont="1" applyFill="1" applyBorder="1"/>
    <xf numFmtId="3" fontId="10" fillId="2" borderId="17" xfId="0" applyNumberFormat="1" applyFont="1" applyFill="1" applyBorder="1"/>
    <xf numFmtId="3" fontId="10" fillId="2" borderId="4" xfId="0" applyNumberFormat="1" applyFont="1" applyFill="1" applyBorder="1"/>
    <xf numFmtId="3" fontId="0" fillId="2" borderId="4" xfId="5" applyNumberFormat="1" applyFont="1" applyFill="1" applyBorder="1"/>
    <xf numFmtId="0" fontId="0" fillId="0" borderId="0" xfId="0" applyAlignment="1">
      <alignment shrinkToFit="1"/>
    </xf>
    <xf numFmtId="3" fontId="0" fillId="5" borderId="4" xfId="0" applyNumberFormat="1" applyFill="1" applyBorder="1" applyAlignment="1">
      <alignment shrinkToFit="1"/>
    </xf>
    <xf numFmtId="3" fontId="0" fillId="3" borderId="0" xfId="0" applyNumberFormat="1" applyFill="1" applyAlignment="1">
      <alignment shrinkToFit="1"/>
    </xf>
    <xf numFmtId="3" fontId="0" fillId="0" borderId="0" xfId="0" applyNumberFormat="1" applyAlignment="1">
      <alignment shrinkToFit="1"/>
    </xf>
    <xf numFmtId="0" fontId="0" fillId="3" borderId="0" xfId="0" applyFill="1" applyAlignment="1">
      <alignment shrinkToFit="1"/>
    </xf>
    <xf numFmtId="3" fontId="0" fillId="0" borderId="4" xfId="0" applyNumberFormat="1" applyFill="1" applyBorder="1" applyAlignment="1">
      <alignment shrinkToFit="1"/>
    </xf>
    <xf numFmtId="3" fontId="0" fillId="0" borderId="4" xfId="0" applyNumberFormat="1" applyBorder="1" applyAlignment="1">
      <alignment shrinkToFit="1"/>
    </xf>
    <xf numFmtId="3" fontId="0" fillId="4" borderId="0" xfId="0" applyNumberFormat="1" applyFill="1" applyBorder="1" applyAlignment="1">
      <alignment shrinkToFit="1"/>
    </xf>
    <xf numFmtId="0" fontId="0" fillId="0" borderId="0" xfId="0" applyFont="1"/>
    <xf numFmtId="3" fontId="0" fillId="0" borderId="4" xfId="0" applyNumberFormat="1" applyBorder="1" applyAlignment="1"/>
    <xf numFmtId="0" fontId="0" fillId="0" borderId="0" xfId="0" applyFill="1" applyBorder="1" applyAlignment="1">
      <alignment wrapText="1"/>
    </xf>
    <xf numFmtId="0" fontId="1" fillId="0" borderId="0" xfId="0" applyFont="1"/>
    <xf numFmtId="3" fontId="0" fillId="5" borderId="4" xfId="0" applyNumberFormat="1" applyFill="1" applyBorder="1"/>
    <xf numFmtId="0" fontId="0" fillId="4" borderId="4" xfId="0" applyFill="1" applyBorder="1"/>
    <xf numFmtId="10" fontId="0" fillId="4" borderId="4" xfId="0" applyNumberFormat="1" applyFill="1" applyBorder="1"/>
    <xf numFmtId="0" fontId="0" fillId="4" borderId="14" xfId="0" applyFont="1" applyFill="1" applyBorder="1" applyAlignment="1">
      <alignment vertical="center"/>
    </xf>
    <xf numFmtId="0" fontId="0" fillId="4" borderId="15" xfId="0" applyFont="1" applyFill="1" applyBorder="1"/>
    <xf numFmtId="3" fontId="0" fillId="4" borderId="15" xfId="0" applyNumberFormat="1" applyFont="1" applyFill="1" applyBorder="1"/>
    <xf numFmtId="3" fontId="0" fillId="4" borderId="15" xfId="5" applyNumberFormat="1" applyFont="1" applyFill="1" applyBorder="1"/>
    <xf numFmtId="3" fontId="0" fillId="4" borderId="16" xfId="5" applyNumberFormat="1" applyFont="1" applyFill="1" applyBorder="1"/>
    <xf numFmtId="0" fontId="0" fillId="4" borderId="14" xfId="0" applyFont="1" applyFill="1" applyBorder="1"/>
    <xf numFmtId="168" fontId="0" fillId="4" borderId="15" xfId="5" applyNumberFormat="1" applyFont="1" applyFill="1" applyBorder="1"/>
    <xf numFmtId="0" fontId="10" fillId="4" borderId="13" xfId="0" applyFont="1" applyFill="1" applyBorder="1"/>
    <xf numFmtId="0" fontId="10" fillId="4" borderId="4" xfId="0" applyFont="1" applyFill="1" applyBorder="1"/>
    <xf numFmtId="3" fontId="10" fillId="4" borderId="4" xfId="5" applyNumberFormat="1" applyFont="1" applyFill="1" applyBorder="1"/>
    <xf numFmtId="168" fontId="10" fillId="4" borderId="4" xfId="5" applyNumberFormat="1" applyFont="1" applyFill="1" applyBorder="1"/>
    <xf numFmtId="3" fontId="10" fillId="4" borderId="6" xfId="5" applyNumberFormat="1" applyFont="1" applyFill="1" applyBorder="1"/>
    <xf numFmtId="3" fontId="11" fillId="0" borderId="0" xfId="0" applyNumberFormat="1" applyFont="1"/>
    <xf numFmtId="3" fontId="11" fillId="0" borderId="0" xfId="0" applyNumberFormat="1" applyFont="1" applyAlignment="1">
      <alignment shrinkToFit="1"/>
    </xf>
    <xf numFmtId="1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wrapText="1"/>
    </xf>
    <xf numFmtId="0" fontId="0" fillId="0" borderId="0" xfId="0" applyAlignment="1">
      <alignment wrapText="1"/>
    </xf>
    <xf numFmtId="0" fontId="1" fillId="4" borderId="4" xfId="0" applyFont="1" applyFill="1" applyBorder="1" applyAlignment="1">
      <alignment wrapText="1"/>
    </xf>
    <xf numFmtId="0" fontId="0" fillId="4" borderId="0" xfId="0" applyFill="1"/>
    <xf numFmtId="3" fontId="0" fillId="0" borderId="4" xfId="0" applyNumberFormat="1" applyBorder="1" applyAlignment="1">
      <alignment vertical="center"/>
    </xf>
    <xf numFmtId="3" fontId="0" fillId="0" borderId="4" xfId="0" applyNumberFormat="1" applyBorder="1" applyAlignment="1">
      <alignment vertical="center" wrapText="1"/>
    </xf>
    <xf numFmtId="3" fontId="1" fillId="4" borderId="4" xfId="0" applyNumberFormat="1" applyFont="1" applyFill="1" applyBorder="1" applyAlignment="1">
      <alignment wrapText="1"/>
    </xf>
    <xf numFmtId="3" fontId="1" fillId="4" borderId="4" xfId="0" applyNumberFormat="1" applyFont="1" applyFill="1" applyBorder="1" applyAlignment="1">
      <alignment vertical="center" wrapText="1"/>
    </xf>
    <xf numFmtId="3" fontId="0" fillId="6" borderId="4" xfId="0" applyNumberFormat="1" applyFill="1" applyBorder="1" applyAlignment="1">
      <alignment shrinkToFit="1"/>
    </xf>
    <xf numFmtId="3" fontId="0" fillId="0" borderId="17" xfId="5" applyNumberFormat="1" applyFont="1" applyFill="1" applyBorder="1"/>
    <xf numFmtId="3" fontId="0" fillId="0" borderId="17" xfId="0" applyNumberFormat="1" applyFont="1" applyBorder="1"/>
    <xf numFmtId="3" fontId="0" fillId="0" borderId="4" xfId="0" applyNumberFormat="1" applyFont="1" applyBorder="1"/>
    <xf numFmtId="0" fontId="1" fillId="0" borderId="0" xfId="0" applyFont="1" applyFill="1" applyBorder="1" applyAlignment="1">
      <alignment horizontal="left" vertical="center" wrapText="1"/>
    </xf>
    <xf numFmtId="3" fontId="0" fillId="0" borderId="0" xfId="2" applyNumberFormat="1" applyFont="1" applyFill="1" applyBorder="1" applyAlignment="1">
      <alignment vertical="center" wrapText="1"/>
    </xf>
    <xf numFmtId="0" fontId="10" fillId="0" borderId="4" xfId="0" applyFont="1" applyBorder="1"/>
    <xf numFmtId="3" fontId="10" fillId="0" borderId="4" xfId="0" applyNumberFormat="1" applyFont="1" applyBorder="1"/>
    <xf numFmtId="0" fontId="3" fillId="0" borderId="0" xfId="0" applyFont="1" applyFill="1" applyBorder="1"/>
    <xf numFmtId="3" fontId="0" fillId="0" borderId="0" xfId="0" applyNumberFormat="1" applyBorder="1" applyAlignment="1">
      <alignment vertical="center" wrapText="1"/>
    </xf>
    <xf numFmtId="0" fontId="10" fillId="0" borderId="0" xfId="0" applyFont="1" applyFill="1" applyBorder="1"/>
    <xf numFmtId="0" fontId="0" fillId="0" borderId="20" xfId="0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167" fontId="1" fillId="0" borderId="4" xfId="0" applyNumberFormat="1" applyFont="1" applyBorder="1"/>
    <xf numFmtId="10" fontId="1" fillId="0" borderId="4" xfId="0" applyNumberFormat="1" applyFont="1" applyBorder="1"/>
    <xf numFmtId="4" fontId="1" fillId="0" borderId="4" xfId="0" applyNumberFormat="1" applyFont="1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1" fillId="0" borderId="0" xfId="0" applyFont="1"/>
    <xf numFmtId="0" fontId="0" fillId="0" borderId="21" xfId="0" applyBorder="1"/>
    <xf numFmtId="0" fontId="1" fillId="3" borderId="0" xfId="0" applyFont="1" applyFill="1"/>
    <xf numFmtId="3" fontId="1" fillId="3" borderId="0" xfId="0" applyNumberFormat="1" applyFont="1" applyFill="1"/>
    <xf numFmtId="3" fontId="1" fillId="3" borderId="21" xfId="0" applyNumberFormat="1" applyFont="1" applyFill="1" applyBorder="1"/>
    <xf numFmtId="3" fontId="0" fillId="0" borderId="0" xfId="0" applyNumberFormat="1" applyBorder="1"/>
    <xf numFmtId="3" fontId="0" fillId="0" borderId="21" xfId="0" applyNumberFormat="1" applyBorder="1"/>
    <xf numFmtId="0" fontId="12" fillId="8" borderId="0" xfId="0" applyFont="1" applyFill="1"/>
    <xf numFmtId="3" fontId="12" fillId="8" borderId="0" xfId="0" applyNumberFormat="1" applyFont="1" applyFill="1"/>
    <xf numFmtId="3" fontId="12" fillId="8" borderId="22" xfId="0" applyNumberFormat="1" applyFont="1" applyFill="1" applyBorder="1"/>
    <xf numFmtId="164" fontId="0" fillId="0" borderId="0" xfId="0" applyNumberFormat="1"/>
    <xf numFmtId="3" fontId="13" fillId="0" borderId="0" xfId="0" applyNumberFormat="1" applyFont="1"/>
    <xf numFmtId="167" fontId="14" fillId="0" borderId="4" xfId="2" applyNumberFormat="1" applyFont="1" applyFill="1" applyBorder="1"/>
    <xf numFmtId="10" fontId="0" fillId="0" borderId="0" xfId="0" applyNumberFormat="1"/>
    <xf numFmtId="10" fontId="11" fillId="0" borderId="4" xfId="0" applyNumberFormat="1" applyFont="1" applyBorder="1"/>
    <xf numFmtId="9" fontId="11" fillId="0" borderId="4" xfId="6" applyFont="1" applyBorder="1"/>
    <xf numFmtId="167" fontId="11" fillId="0" borderId="4" xfId="2" applyNumberFormat="1" applyFont="1" applyBorder="1"/>
    <xf numFmtId="167" fontId="0" fillId="0" borderId="4" xfId="2" applyNumberFormat="1" applyFont="1" applyBorder="1"/>
    <xf numFmtId="167" fontId="0" fillId="0" borderId="4" xfId="2" applyNumberFormat="1" applyFont="1" applyFill="1" applyBorder="1"/>
    <xf numFmtId="3" fontId="1" fillId="0" borderId="0" xfId="0" applyNumberFormat="1" applyFont="1" applyFill="1" applyBorder="1"/>
    <xf numFmtId="169" fontId="1" fillId="0" borderId="0" xfId="0" applyNumberFormat="1" applyFont="1"/>
    <xf numFmtId="9" fontId="11" fillId="0" borderId="4" xfId="0" applyNumberFormat="1" applyFont="1" applyBorder="1"/>
    <xf numFmtId="3" fontId="11" fillId="0" borderId="4" xfId="0" applyNumberFormat="1" applyFont="1" applyBorder="1"/>
    <xf numFmtId="169" fontId="0" fillId="0" borderId="0" xfId="0" applyNumberFormat="1"/>
    <xf numFmtId="0" fontId="0" fillId="0" borderId="0" xfId="0" applyFont="1" applyAlignment="1">
      <alignment shrinkToFit="1"/>
    </xf>
    <xf numFmtId="3" fontId="0" fillId="5" borderId="4" xfId="0" applyNumberFormat="1" applyFont="1" applyFill="1" applyBorder="1" applyAlignment="1">
      <alignment shrinkToFit="1"/>
    </xf>
    <xf numFmtId="3" fontId="0" fillId="3" borderId="0" xfId="0" applyNumberFormat="1" applyFont="1" applyFill="1" applyAlignment="1">
      <alignment shrinkToFit="1"/>
    </xf>
    <xf numFmtId="3" fontId="0" fillId="0" borderId="0" xfId="0" applyNumberFormat="1" applyFont="1" applyAlignment="1">
      <alignment shrinkToFit="1"/>
    </xf>
    <xf numFmtId="3" fontId="0" fillId="0" borderId="4" xfId="0" applyNumberFormat="1" applyFont="1" applyFill="1" applyBorder="1" applyAlignment="1">
      <alignment shrinkToFit="1"/>
    </xf>
    <xf numFmtId="3" fontId="0" fillId="0" borderId="4" xfId="0" applyNumberFormat="1" applyFont="1" applyBorder="1" applyAlignment="1">
      <alignment shrinkToFit="1"/>
    </xf>
    <xf numFmtId="3" fontId="0" fillId="4" borderId="0" xfId="0" applyNumberFormat="1" applyFont="1" applyFill="1" applyBorder="1" applyAlignment="1">
      <alignment shrinkToFit="1"/>
    </xf>
    <xf numFmtId="3" fontId="0" fillId="0" borderId="4" xfId="0" applyNumberFormat="1" applyFont="1" applyBorder="1" applyAlignment="1"/>
    <xf numFmtId="10" fontId="14" fillId="0" borderId="4" xfId="0" applyNumberFormat="1" applyFont="1" applyBorder="1"/>
    <xf numFmtId="0" fontId="16" fillId="0" borderId="0" xfId="0" applyFont="1"/>
    <xf numFmtId="0" fontId="10" fillId="0" borderId="0" xfId="0" applyFont="1"/>
    <xf numFmtId="0" fontId="0" fillId="0" borderId="0" xfId="0" applyFill="1"/>
    <xf numFmtId="0" fontId="3" fillId="6" borderId="0" xfId="0" applyFont="1" applyFill="1"/>
    <xf numFmtId="3" fontId="3" fillId="6" borderId="0" xfId="0" applyNumberFormat="1" applyFont="1" applyFill="1"/>
    <xf numFmtId="0" fontId="5" fillId="0" borderId="0" xfId="0" applyFont="1"/>
    <xf numFmtId="4" fontId="10" fillId="0" borderId="4" xfId="0" applyNumberFormat="1" applyFont="1" applyBorder="1"/>
    <xf numFmtId="170" fontId="10" fillId="0" borderId="4" xfId="0" applyNumberFormat="1" applyFont="1" applyBorder="1"/>
    <xf numFmtId="10" fontId="10" fillId="0" borderId="4" xfId="0" applyNumberFormat="1" applyFont="1" applyBorder="1"/>
    <xf numFmtId="3" fontId="1" fillId="4" borderId="23" xfId="0" applyNumberFormat="1" applyFont="1" applyFill="1" applyBorder="1"/>
    <xf numFmtId="3" fontId="16" fillId="4" borderId="0" xfId="0" applyNumberFormat="1" applyFont="1" applyFill="1"/>
    <xf numFmtId="4" fontId="16" fillId="0" borderId="0" xfId="0" applyNumberFormat="1" applyFont="1" applyAlignment="1">
      <alignment vertical="top"/>
    </xf>
    <xf numFmtId="3" fontId="16" fillId="0" borderId="4" xfId="0" applyNumberFormat="1" applyFont="1" applyBorder="1"/>
    <xf numFmtId="0" fontId="16" fillId="0" borderId="4" xfId="0" applyFont="1" applyBorder="1"/>
    <xf numFmtId="4" fontId="1" fillId="0" borderId="0" xfId="0" applyNumberFormat="1" applyFont="1" applyFill="1" applyBorder="1" applyAlignment="1">
      <alignment vertical="top"/>
    </xf>
    <xf numFmtId="3" fontId="1" fillId="4" borderId="0" xfId="0" applyNumberFormat="1" applyFont="1" applyFill="1" applyBorder="1"/>
    <xf numFmtId="4" fontId="16" fillId="0" borderId="0" xfId="0" applyNumberFormat="1" applyFont="1" applyFill="1" applyBorder="1" applyAlignment="1">
      <alignment vertical="top"/>
    </xf>
    <xf numFmtId="4" fontId="1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4" fontId="18" fillId="0" borderId="4" xfId="0" applyNumberFormat="1" applyFont="1" applyBorder="1" applyAlignment="1">
      <alignment horizontal="center" vertical="top" wrapText="1"/>
    </xf>
    <xf numFmtId="10" fontId="16" fillId="2" borderId="4" xfId="6" applyNumberFormat="1" applyFont="1" applyFill="1" applyBorder="1" applyAlignment="1">
      <alignment horizontal="center" vertical="top" wrapText="1"/>
    </xf>
    <xf numFmtId="10" fontId="16" fillId="0" borderId="4" xfId="6" applyNumberFormat="1" applyFont="1" applyBorder="1" applyAlignment="1">
      <alignment horizontal="center" vertical="top" wrapText="1"/>
    </xf>
    <xf numFmtId="0" fontId="19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top" wrapText="1"/>
    </xf>
    <xf numFmtId="4" fontId="20" fillId="0" borderId="0" xfId="0" applyNumberFormat="1" applyFont="1" applyAlignment="1">
      <alignment vertical="top" wrapText="1"/>
    </xf>
    <xf numFmtId="171" fontId="17" fillId="2" borderId="4" xfId="0" applyNumberFormat="1" applyFont="1" applyFill="1" applyBorder="1" applyAlignment="1">
      <alignment horizontal="center" vertical="top" wrapText="1"/>
    </xf>
    <xf numFmtId="172" fontId="16" fillId="0" borderId="4" xfId="0" applyNumberFormat="1" applyFont="1" applyFill="1" applyBorder="1" applyAlignment="1">
      <alignment vertical="top" wrapText="1"/>
    </xf>
    <xf numFmtId="10" fontId="1" fillId="0" borderId="4" xfId="6" applyNumberFormat="1" applyFont="1" applyBorder="1" applyAlignment="1">
      <alignment horizontal="center" vertical="top" wrapText="1"/>
    </xf>
    <xf numFmtId="10" fontId="16" fillId="0" borderId="0" xfId="6" applyNumberFormat="1" applyFont="1" applyBorder="1" applyAlignment="1">
      <alignment horizontal="center" vertical="top" wrapText="1"/>
    </xf>
    <xf numFmtId="172" fontId="16" fillId="0" borderId="4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 wrapText="1"/>
    </xf>
    <xf numFmtId="4" fontId="21" fillId="0" borderId="0" xfId="0" applyNumberFormat="1" applyFont="1" applyFill="1" applyAlignment="1">
      <alignment vertical="top" wrapText="1"/>
    </xf>
    <xf numFmtId="4" fontId="16" fillId="0" borderId="0" xfId="0" applyNumberFormat="1" applyFont="1" applyFill="1" applyAlignment="1">
      <alignment vertical="top" wrapText="1"/>
    </xf>
    <xf numFmtId="3" fontId="1" fillId="4" borderId="23" xfId="0" applyNumberFormat="1" applyFont="1" applyFill="1" applyBorder="1" applyAlignment="1">
      <alignment vertical="top"/>
    </xf>
    <xf numFmtId="3" fontId="16" fillId="0" borderId="22" xfId="0" applyNumberFormat="1" applyFont="1" applyFill="1" applyBorder="1" applyAlignment="1">
      <alignment vertical="top"/>
    </xf>
    <xf numFmtId="3" fontId="16" fillId="0" borderId="0" xfId="0" applyNumberFormat="1" applyFont="1" applyAlignment="1">
      <alignment vertical="top"/>
    </xf>
    <xf numFmtId="3" fontId="16" fillId="0" borderId="4" xfId="0" applyNumberFormat="1" applyFont="1" applyFill="1" applyBorder="1" applyAlignment="1">
      <alignment vertical="top"/>
    </xf>
    <xf numFmtId="4" fontId="22" fillId="0" borderId="0" xfId="0" applyNumberFormat="1" applyFont="1" applyAlignment="1">
      <alignment vertical="top" wrapText="1"/>
    </xf>
    <xf numFmtId="10" fontId="4" fillId="0" borderId="0" xfId="6" applyNumberFormat="1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center" wrapText="1"/>
    </xf>
    <xf numFmtId="0" fontId="23" fillId="0" borderId="17" xfId="0" applyFont="1" applyBorder="1" applyAlignment="1">
      <alignment vertical="top" wrapText="1"/>
    </xf>
    <xf numFmtId="172" fontId="1" fillId="0" borderId="4" xfId="0" applyNumberFormat="1" applyFont="1" applyBorder="1" applyAlignment="1">
      <alignment vertical="center" wrapText="1"/>
    </xf>
    <xf numFmtId="0" fontId="23" fillId="0" borderId="4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center" wrapText="1"/>
    </xf>
    <xf numFmtId="0" fontId="25" fillId="0" borderId="17" xfId="0" applyFont="1" applyBorder="1" applyAlignment="1">
      <alignment vertical="top" wrapText="1"/>
    </xf>
    <xf numFmtId="172" fontId="0" fillId="0" borderId="4" xfId="0" applyNumberFormat="1" applyFont="1" applyBorder="1" applyAlignment="1">
      <alignment vertical="center" wrapText="1"/>
    </xf>
    <xf numFmtId="10" fontId="0" fillId="0" borderId="4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172" fontId="0" fillId="0" borderId="4" xfId="0" applyNumberFormat="1" applyFont="1" applyBorder="1" applyAlignment="1">
      <alignment horizontal="center" vertical="center" wrapText="1"/>
    </xf>
    <xf numFmtId="0" fontId="23" fillId="0" borderId="17" xfId="0" applyFont="1" applyBorder="1" applyAlignment="1">
      <alignment vertical="center" wrapText="1"/>
    </xf>
    <xf numFmtId="10" fontId="0" fillId="0" borderId="4" xfId="0" applyNumberFormat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5" borderId="4" xfId="0" applyNumberFormat="1" applyFill="1" applyBorder="1"/>
    <xf numFmtId="1" fontId="0" fillId="0" borderId="4" xfId="0" applyNumberFormat="1" applyFill="1" applyBorder="1"/>
    <xf numFmtId="1" fontId="0" fillId="4" borderId="4" xfId="0" applyNumberFormat="1" applyFill="1" applyBorder="1"/>
    <xf numFmtId="0" fontId="3" fillId="0" borderId="24" xfId="0" applyFont="1" applyBorder="1"/>
    <xf numFmtId="0" fontId="0" fillId="0" borderId="25" xfId="0" applyBorder="1"/>
    <xf numFmtId="3" fontId="1" fillId="4" borderId="25" xfId="0" applyNumberFormat="1" applyFont="1" applyFill="1" applyBorder="1" applyAlignment="1"/>
    <xf numFmtId="0" fontId="0" fillId="0" borderId="26" xfId="0" applyBorder="1"/>
    <xf numFmtId="3" fontId="0" fillId="0" borderId="0" xfId="0" applyNumberFormat="1" applyBorder="1" applyAlignment="1"/>
    <xf numFmtId="0" fontId="0" fillId="0" borderId="26" xfId="0" applyFill="1" applyBorder="1"/>
    <xf numFmtId="3" fontId="0" fillId="4" borderId="0" xfId="0" applyNumberFormat="1" applyFill="1" applyBorder="1" applyAlignment="1"/>
    <xf numFmtId="0" fontId="0" fillId="0" borderId="27" xfId="0" applyFill="1" applyBorder="1"/>
    <xf numFmtId="0" fontId="0" fillId="0" borderId="28" xfId="0" applyFill="1" applyBorder="1"/>
    <xf numFmtId="3" fontId="0" fillId="4" borderId="28" xfId="0" applyNumberFormat="1" applyFill="1" applyBorder="1" applyAlignment="1"/>
    <xf numFmtId="0" fontId="0" fillId="0" borderId="27" xfId="0" applyBorder="1"/>
    <xf numFmtId="0" fontId="0" fillId="0" borderId="28" xfId="0" applyBorder="1"/>
    <xf numFmtId="3" fontId="0" fillId="0" borderId="0" xfId="0" applyNumberFormat="1" applyAlignment="1"/>
    <xf numFmtId="3" fontId="0" fillId="0" borderId="0" xfId="0" applyNumberFormat="1" applyFill="1" applyBorder="1" applyAlignment="1">
      <alignment shrinkToFit="1"/>
    </xf>
    <xf numFmtId="3" fontId="0" fillId="0" borderId="0" xfId="0" applyNumberFormat="1" applyFont="1" applyFill="1" applyBorder="1" applyAlignment="1">
      <alignment shrinkToFit="1"/>
    </xf>
    <xf numFmtId="3" fontId="0" fillId="0" borderId="0" xfId="0" applyNumberFormat="1" applyFill="1"/>
    <xf numFmtId="3" fontId="0" fillId="9" borderId="4" xfId="0" applyNumberFormat="1" applyFill="1" applyBorder="1"/>
    <xf numFmtId="0" fontId="0" fillId="3" borderId="8" xfId="0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center" vertical="center" wrapText="1"/>
    </xf>
    <xf numFmtId="10" fontId="1" fillId="0" borderId="4" xfId="6" applyNumberFormat="1" applyFont="1" applyBorder="1" applyAlignment="1">
      <alignment horizontal="center" vertical="center" wrapText="1"/>
    </xf>
  </cellXfs>
  <cellStyles count="7">
    <cellStyle name="Гиперссылка" xfId="1" builtinId="8"/>
    <cellStyle name="Денежный" xfId="3" builtinId="4"/>
    <cellStyle name="Обычный" xfId="0" builtinId="0"/>
    <cellStyle name="Обычный 2" xfId="4"/>
    <cellStyle name="Процентный" xfId="6" builtinId="5"/>
    <cellStyle name="Финансовый" xfId="2" builtinId="3"/>
    <cellStyle name="Финансовый 2" xfId="5"/>
  </cellStyles>
  <dxfs count="8"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55.5\ooo\&#1050;&#1072;&#1079;&#1085;&#1072;&#1095;&#1077;&#1081;&#1089;&#1090;&#1074;&#1086;\&#1056;_&#1046;_&#1045;_&#1042;_&#1057;_&#1050;_&#1048;_&#1049;\&#1060;&#1048;&#1053;%20&#1052;&#1054;&#1044;&#1045;&#1051;&#1048;\&#1050;&#1091;&#1076;&#1088;&#1103;&#1096;&#1080;\&#1060;&#1080;&#1085;%20&#1084;&#1086;&#1076;&#1077;&#1083;&#1100;%202021\&#1052;&#1072;&#1090;&#1077;&#1088;&#1080;&#1072;&#1083;&#1099;%20&#1087;&#1086;%20%20&#1052;&#1063;&#1055;%20&#1080;%20&#1050;&#1057;\&#1060;&#1080;&#1085;%20&#1084;&#1086;&#1076;&#1077;&#1083;&#1100;%20&#1040;&#1088;&#1082;&#1072;&#1076;&#1080;&#1081;\&#1060;&#1080;&#1085;%20&#1084;&#1086;&#1076;&#1077;&#1083;&#1100;%20&#1052;&#1063;&#1055;%20&#1074;&#1077;&#1088;&#1089;&#1080;&#1103;%2025-08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"/>
      <sheetName val="Параметры"/>
      <sheetName val="Строительная смета"/>
      <sheetName val="Штатное расписание"/>
      <sheetName val="Эксплуатация и ТО"/>
      <sheetName val="Аренда зем. уч."/>
      <sheetName val="Заемные средства"/>
      <sheetName val="Бюджетное финансирование"/>
      <sheetName val="Сводные данные"/>
      <sheetName val="Сводные данные с индексацией"/>
      <sheetName val="ОДДС и показатели Инвестора"/>
      <sheetName val="Прогнозный ОПУ"/>
      <sheetName val="Прогнозный баланс"/>
      <sheetName val="Соц-эконом эффект"/>
      <sheetName val="Сравнительное преимущество"/>
      <sheetName val="Сравн преим с кредитной линие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5">
          <cell r="L35">
            <v>22124.55766403125</v>
          </cell>
          <cell r="M35">
            <v>22124.55766403125</v>
          </cell>
          <cell r="N35">
            <v>22124.55766403125</v>
          </cell>
          <cell r="O35">
            <v>22124.55766403125</v>
          </cell>
          <cell r="P35">
            <v>22124.55766403125</v>
          </cell>
          <cell r="Q35">
            <v>22124.55766403125</v>
          </cell>
          <cell r="R35">
            <v>22124.55766403125</v>
          </cell>
          <cell r="S35">
            <v>22124.55766403125</v>
          </cell>
          <cell r="T35">
            <v>22124.55766403125</v>
          </cell>
          <cell r="U35">
            <v>22124.55766403125</v>
          </cell>
          <cell r="V35">
            <v>22124.55766403125</v>
          </cell>
          <cell r="W35">
            <v>22124.55766403125</v>
          </cell>
          <cell r="X35">
            <v>22124.55766403125</v>
          </cell>
          <cell r="Y35">
            <v>22124.55766403125</v>
          </cell>
          <cell r="Z35">
            <v>22124.55766403125</v>
          </cell>
          <cell r="AA35">
            <v>22124.55766403125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4" sqref="B4"/>
    </sheetView>
  </sheetViews>
  <sheetFormatPr defaultRowHeight="15" x14ac:dyDescent="0.25"/>
  <sheetData>
    <row r="2" spans="2:2" ht="18.75" x14ac:dyDescent="0.3">
      <c r="B2" s="16" t="s">
        <v>308</v>
      </c>
    </row>
    <row r="3" spans="2:2" ht="18.75" x14ac:dyDescent="0.3">
      <c r="B3" s="16" t="s">
        <v>309</v>
      </c>
    </row>
    <row r="4" spans="2:2" x14ac:dyDescent="0.25">
      <c r="B4" t="s">
        <v>387</v>
      </c>
    </row>
    <row r="5" spans="2:2" ht="18.75" x14ac:dyDescent="0.3">
      <c r="B5" s="16"/>
    </row>
    <row r="6" spans="2:2" ht="18.75" x14ac:dyDescent="0.3">
      <c r="B6" s="16" t="s">
        <v>311</v>
      </c>
    </row>
    <row r="7" spans="2:2" ht="18.75" x14ac:dyDescent="0.3">
      <c r="B7" s="16" t="s">
        <v>313</v>
      </c>
    </row>
    <row r="8" spans="2:2" ht="18.75" x14ac:dyDescent="0.3">
      <c r="B8" s="16" t="s">
        <v>312</v>
      </c>
    </row>
    <row r="9" spans="2:2" ht="18.75" x14ac:dyDescent="0.3">
      <c r="B9" s="16"/>
    </row>
    <row r="10" spans="2:2" ht="18.75" x14ac:dyDescent="0.3">
      <c r="B10" s="16" t="s">
        <v>310</v>
      </c>
    </row>
    <row r="12" spans="2:2" ht="15.75" x14ac:dyDescent="0.25">
      <c r="B12" s="190" t="s">
        <v>315</v>
      </c>
    </row>
    <row r="13" spans="2:2" ht="15.75" x14ac:dyDescent="0.25">
      <c r="B13" s="190" t="s">
        <v>316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AB19"/>
  <sheetViews>
    <sheetView zoomScale="86" zoomScaleNormal="86" workbookViewId="0">
      <selection activeCell="H5" sqref="H5"/>
    </sheetView>
  </sheetViews>
  <sheetFormatPr defaultRowHeight="15" x14ac:dyDescent="0.25"/>
  <cols>
    <col min="2" max="2" width="32.28515625" customWidth="1"/>
    <col min="3" max="3" width="13.85546875" customWidth="1"/>
    <col min="4" max="5" width="9.85546875" bestFit="1" customWidth="1"/>
    <col min="7" max="8" width="11.42578125" bestFit="1" customWidth="1"/>
    <col min="9" max="9" width="14" bestFit="1" customWidth="1"/>
    <col min="12" max="12" width="12" bestFit="1" customWidth="1"/>
    <col min="15" max="15" width="10.42578125" bestFit="1" customWidth="1"/>
  </cols>
  <sheetData>
    <row r="1" spans="1:28" x14ac:dyDescent="0.25">
      <c r="A1" s="1" t="s">
        <v>1</v>
      </c>
    </row>
    <row r="3" spans="1:28" ht="18.75" x14ac:dyDescent="0.3">
      <c r="B3" s="16" t="s">
        <v>226</v>
      </c>
      <c r="C3" s="16"/>
    </row>
    <row r="4" spans="1:28" x14ac:dyDescent="0.25">
      <c r="D4" t="s">
        <v>25</v>
      </c>
      <c r="E4" t="s">
        <v>26</v>
      </c>
      <c r="F4" t="s">
        <v>27</v>
      </c>
      <c r="G4" t="s">
        <v>28</v>
      </c>
      <c r="H4" t="s">
        <v>29</v>
      </c>
      <c r="I4" t="s">
        <v>30</v>
      </c>
      <c r="J4" t="s">
        <v>31</v>
      </c>
      <c r="K4" t="s">
        <v>32</v>
      </c>
      <c r="L4" t="s">
        <v>33</v>
      </c>
      <c r="M4" t="s">
        <v>34</v>
      </c>
      <c r="N4" t="s">
        <v>35</v>
      </c>
      <c r="O4" t="s">
        <v>36</v>
      </c>
      <c r="P4" t="s">
        <v>37</v>
      </c>
      <c r="Q4" t="s">
        <v>38</v>
      </c>
      <c r="R4" t="s">
        <v>39</v>
      </c>
      <c r="S4" t="s">
        <v>40</v>
      </c>
      <c r="T4" t="s">
        <v>41</v>
      </c>
      <c r="U4" t="s">
        <v>42</v>
      </c>
      <c r="V4" t="s">
        <v>43</v>
      </c>
      <c r="W4" t="s">
        <v>44</v>
      </c>
      <c r="X4" t="s">
        <v>45</v>
      </c>
      <c r="Y4" t="s">
        <v>46</v>
      </c>
      <c r="Z4" t="s">
        <v>47</v>
      </c>
      <c r="AA4" t="s">
        <v>48</v>
      </c>
      <c r="AB4" t="s">
        <v>255</v>
      </c>
    </row>
    <row r="5" spans="1:28" x14ac:dyDescent="0.25">
      <c r="B5" s="131" t="s">
        <v>52</v>
      </c>
      <c r="C5" s="135">
        <f>SUM(C6:C9)</f>
        <v>44501662.849510811</v>
      </c>
      <c r="D5" s="34"/>
      <c r="E5" s="34"/>
      <c r="F5" s="34"/>
      <c r="G5" s="34"/>
      <c r="H5" s="34">
        <v>20000000</v>
      </c>
      <c r="I5" s="34">
        <f>C5-H5</f>
        <v>24501662.849510811</v>
      </c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</row>
    <row r="6" spans="1:28" x14ac:dyDescent="0.25">
      <c r="B6" s="17" t="s">
        <v>21</v>
      </c>
      <c r="C6" s="133">
        <f>'Сводные данные с индексацией'!AB12</f>
        <v>39769771.543669023</v>
      </c>
    </row>
    <row r="7" spans="1:28" x14ac:dyDescent="0.25">
      <c r="B7" s="17" t="s">
        <v>227</v>
      </c>
      <c r="C7" s="134">
        <f>'Сводные данные с индексацией'!AB19</f>
        <v>3025897.1943750004</v>
      </c>
    </row>
    <row r="8" spans="1:28" ht="30" x14ac:dyDescent="0.25">
      <c r="B8" s="17" t="s">
        <v>228</v>
      </c>
      <c r="C8" s="134">
        <f>SUM('Сводные данные с индексацией'!C23:F24)</f>
        <v>1258779.1114667859</v>
      </c>
    </row>
    <row r="9" spans="1:28" x14ac:dyDescent="0.25">
      <c r="B9" s="17" t="s">
        <v>244</v>
      </c>
      <c r="C9" s="134">
        <f>'Сводные данные с индексацией'!AC38</f>
        <v>447215</v>
      </c>
    </row>
    <row r="10" spans="1:28" x14ac:dyDescent="0.25">
      <c r="B10" s="13"/>
      <c r="C10" s="146"/>
    </row>
    <row r="11" spans="1:28" x14ac:dyDescent="0.25">
      <c r="B11" s="13"/>
      <c r="C11" s="146"/>
    </row>
    <row r="12" spans="1:28" x14ac:dyDescent="0.25">
      <c r="B12" s="130"/>
      <c r="C12" s="130"/>
    </row>
    <row r="13" spans="1:28" x14ac:dyDescent="0.25">
      <c r="B13" s="131" t="s">
        <v>53</v>
      </c>
      <c r="C13" s="136">
        <f>SUM(C14:C17)+1</f>
        <v>263632.82581715926</v>
      </c>
      <c r="D13" s="132"/>
      <c r="E13" s="132"/>
      <c r="F13" s="132"/>
      <c r="G13" s="132"/>
      <c r="H13" s="34">
        <f>'Сводные данные с индексацией'!G15+'Сводные данные с индексацией'!G27*6/5</f>
        <v>31834.210282149666</v>
      </c>
      <c r="I13" s="34">
        <f>'Сводные данные с индексацией'!H15+'Сводные данные с индексацией'!H27*6/5</f>
        <v>32147.885698225055</v>
      </c>
      <c r="J13" s="34">
        <f>'Сводные данные с индексацией'!I15+'Сводные данные с индексацией'!I27*6/5</f>
        <v>32464.651885699437</v>
      </c>
      <c r="K13" s="34">
        <f>'Сводные данные с индексацией'!J15+'Сводные данные с индексацией'!J27*6/5</f>
        <v>32784.539299199983</v>
      </c>
      <c r="L13" s="34">
        <f>'Сводные данные с индексацией'!K15+'Сводные данные с индексацией'!K27*6/5</f>
        <v>33107.578693435644</v>
      </c>
      <c r="M13" s="34">
        <f>'Сводные данные с индексацией'!L15+'Сводные данные с индексацией'!L27*6/5</f>
        <v>33433.801126154052</v>
      </c>
      <c r="N13" s="34">
        <f>'Сводные данные с индексацией'!M15+'Сводные данные с индексацией'!M27*6/5</f>
        <v>33763.237961127423</v>
      </c>
      <c r="O13" s="34">
        <f>'Сводные данные с индексацией'!N15+'Сводные данные с индексацией'!N27*6/5</f>
        <v>34095.920871167982</v>
      </c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</row>
    <row r="14" spans="1:28" ht="30" x14ac:dyDescent="0.25">
      <c r="B14" s="17" t="s">
        <v>223</v>
      </c>
      <c r="C14" s="133">
        <f>SUM('Сводные данные с индексацией'!G15:AA15)*5/6</f>
        <v>130462.79842529196</v>
      </c>
      <c r="I14" s="27"/>
    </row>
    <row r="15" spans="1:28" ht="30" x14ac:dyDescent="0.25">
      <c r="B15" s="17" t="s">
        <v>229</v>
      </c>
      <c r="C15" s="133">
        <f>SUM('Сводные данные с индексацией'!G27:AA27)</f>
        <v>89230.389755674099</v>
      </c>
      <c r="I15" s="27"/>
    </row>
    <row r="16" spans="1:28" x14ac:dyDescent="0.25">
      <c r="B16" s="17" t="s">
        <v>245</v>
      </c>
      <c r="C16" s="134">
        <f>C14/5+C15/5</f>
        <v>43938.637636193205</v>
      </c>
    </row>
    <row r="17" spans="2:3" x14ac:dyDescent="0.25">
      <c r="B17" s="17" t="s">
        <v>244</v>
      </c>
      <c r="C17" s="134">
        <f>'Сводные данные с индексацией'!AC39</f>
        <v>0</v>
      </c>
    </row>
    <row r="19" spans="2:3" x14ac:dyDescent="0.25">
      <c r="B19" s="109" t="s">
        <v>233</v>
      </c>
      <c r="C19" s="27">
        <f>C5+C13</f>
        <v>44765295.675327972</v>
      </c>
    </row>
  </sheetData>
  <hyperlinks>
    <hyperlink ref="A1" location="Структура!A1" display="к содержанию"/>
  </hyperlinks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4"/>
  </sheetPr>
  <dimension ref="A1:AB27"/>
  <sheetViews>
    <sheetView zoomScale="82" zoomScaleNormal="82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B35" sqref="B35"/>
    </sheetView>
  </sheetViews>
  <sheetFormatPr defaultRowHeight="15" x14ac:dyDescent="0.25"/>
  <cols>
    <col min="1" max="1" width="9.140625" customWidth="1"/>
    <col min="2" max="2" width="49" customWidth="1"/>
    <col min="3" max="3" width="9.42578125" style="99" bestFit="1" customWidth="1"/>
    <col min="4" max="5" width="9.85546875" style="99" bestFit="1" customWidth="1"/>
    <col min="6" max="6" width="9.42578125" style="99" bestFit="1" customWidth="1"/>
    <col min="7" max="8" width="9.85546875" style="99" bestFit="1" customWidth="1"/>
    <col min="9" max="13" width="9.42578125" style="99" bestFit="1" customWidth="1"/>
    <col min="14" max="27" width="9.140625" style="99"/>
    <col min="28" max="28" width="9.85546875" style="99" bestFit="1" customWidth="1"/>
  </cols>
  <sheetData>
    <row r="1" spans="1:28" x14ac:dyDescent="0.25">
      <c r="A1" s="1" t="s">
        <v>1</v>
      </c>
    </row>
    <row r="2" spans="1:28" x14ac:dyDescent="0.25">
      <c r="A2" s="1"/>
      <c r="B2" s="1"/>
    </row>
    <row r="3" spans="1:28" ht="18.75" x14ac:dyDescent="0.3">
      <c r="A3" s="1"/>
      <c r="B3" s="30" t="s">
        <v>69</v>
      </c>
    </row>
    <row r="4" spans="1:28" x14ac:dyDescent="0.25">
      <c r="C4" s="99" t="s">
        <v>25</v>
      </c>
      <c r="D4" s="99" t="s">
        <v>26</v>
      </c>
      <c r="E4" s="99" t="s">
        <v>27</v>
      </c>
      <c r="F4" s="99" t="s">
        <v>28</v>
      </c>
      <c r="G4" s="99" t="s">
        <v>29</v>
      </c>
      <c r="H4" s="99" t="s">
        <v>30</v>
      </c>
      <c r="I4" s="99" t="s">
        <v>31</v>
      </c>
      <c r="J4" s="99" t="s">
        <v>32</v>
      </c>
      <c r="K4" s="99" t="s">
        <v>33</v>
      </c>
      <c r="L4" s="99" t="s">
        <v>34</v>
      </c>
      <c r="M4" s="99" t="s">
        <v>35</v>
      </c>
      <c r="N4" s="99" t="s">
        <v>36</v>
      </c>
      <c r="O4" s="99" t="s">
        <v>37</v>
      </c>
      <c r="P4" s="99" t="s">
        <v>38</v>
      </c>
      <c r="Q4" s="99" t="s">
        <v>39</v>
      </c>
      <c r="R4" s="99" t="s">
        <v>40</v>
      </c>
      <c r="S4" s="99" t="s">
        <v>41</v>
      </c>
      <c r="T4" s="99" t="s">
        <v>42</v>
      </c>
      <c r="U4" s="99" t="s">
        <v>43</v>
      </c>
      <c r="V4" s="99" t="s">
        <v>44</v>
      </c>
      <c r="W4" s="99" t="s">
        <v>45</v>
      </c>
      <c r="X4" s="99" t="s">
        <v>46</v>
      </c>
      <c r="Y4" s="99" t="s">
        <v>47</v>
      </c>
      <c r="Z4" s="99" t="s">
        <v>48</v>
      </c>
      <c r="AA4" s="99" t="s">
        <v>255</v>
      </c>
      <c r="AB4" s="99" t="s">
        <v>57</v>
      </c>
    </row>
    <row r="5" spans="1:28" ht="18.75" x14ac:dyDescent="0.3">
      <c r="A5" s="16"/>
      <c r="B5" s="16" t="s">
        <v>21</v>
      </c>
    </row>
    <row r="6" spans="1:28" x14ac:dyDescent="0.25">
      <c r="A6" s="5"/>
      <c r="B6" s="18" t="s">
        <v>170</v>
      </c>
      <c r="C6" s="137">
        <f>'Строительная смета'!H9</f>
        <v>1298000</v>
      </c>
      <c r="D6" s="137">
        <f>'Строительная смета'!I9</f>
        <v>1430000</v>
      </c>
      <c r="E6" s="137">
        <f>'Строительная смета'!J9</f>
        <v>0</v>
      </c>
      <c r="F6" s="137">
        <f>'Строительная смета'!K9</f>
        <v>0</v>
      </c>
      <c r="G6" s="137">
        <f>'Строительная смета'!L9</f>
        <v>0</v>
      </c>
      <c r="H6" s="137">
        <f>'Строительная смета'!M9</f>
        <v>0</v>
      </c>
      <c r="I6" s="137">
        <f>'Строительная смета'!N9</f>
        <v>0</v>
      </c>
      <c r="J6" s="137">
        <f>'Строительная смета'!O9</f>
        <v>0</v>
      </c>
      <c r="K6" s="137">
        <f>'Строительная смета'!P9</f>
        <v>0</v>
      </c>
      <c r="L6" s="137">
        <f>'Строительная смета'!Q9</f>
        <v>0</v>
      </c>
      <c r="M6" s="137">
        <f>'Строительная смета'!R9</f>
        <v>0</v>
      </c>
      <c r="N6" s="137">
        <f>'Строительная смета'!S9</f>
        <v>0</v>
      </c>
      <c r="O6" s="137">
        <f>'Строительная смета'!T9</f>
        <v>0</v>
      </c>
      <c r="P6" s="137">
        <f>'Строительная смета'!U9</f>
        <v>0</v>
      </c>
      <c r="Q6" s="137">
        <f>'Строительная смета'!V9</f>
        <v>0</v>
      </c>
      <c r="R6" s="137">
        <f>'Строительная смета'!W9</f>
        <v>0</v>
      </c>
      <c r="S6" s="137">
        <f>'Строительная смета'!X9</f>
        <v>0</v>
      </c>
      <c r="T6" s="137">
        <f>'Строительная смета'!Y9</f>
        <v>0</v>
      </c>
      <c r="U6" s="137">
        <f>'Строительная смета'!Z9</f>
        <v>0</v>
      </c>
      <c r="V6" s="137">
        <f>'Строительная смета'!AA9</f>
        <v>0</v>
      </c>
      <c r="W6" s="137">
        <f>'Строительная смета'!AB9</f>
        <v>0</v>
      </c>
      <c r="X6" s="137">
        <f>'Строительная смета'!AC9</f>
        <v>0</v>
      </c>
      <c r="Y6" s="137">
        <f>'Строительная смета'!AD9</f>
        <v>0</v>
      </c>
      <c r="Z6" s="137">
        <f>'Строительная смета'!AE9</f>
        <v>0</v>
      </c>
      <c r="AA6" s="137">
        <f>'Строительная смета'!AF9</f>
        <v>0</v>
      </c>
      <c r="AB6" s="101">
        <f>SUM(C6:AA6)</f>
        <v>2728000</v>
      </c>
    </row>
    <row r="7" spans="1:28" x14ac:dyDescent="0.25">
      <c r="A7" s="5"/>
      <c r="B7" s="18" t="s">
        <v>171</v>
      </c>
      <c r="C7" s="137">
        <f>'Строительная смета'!H24</f>
        <v>0</v>
      </c>
      <c r="D7" s="137">
        <f>'Строительная смета'!I24</f>
        <v>16000000</v>
      </c>
      <c r="E7" s="137">
        <f>'Строительная смета'!J24</f>
        <v>8000000</v>
      </c>
      <c r="F7" s="137">
        <f>'Строительная смета'!K24</f>
        <v>1017113</v>
      </c>
      <c r="G7" s="137">
        <f>'Строительная смета'!L24</f>
        <v>0</v>
      </c>
      <c r="H7" s="137">
        <f>'Строительная смета'!M24</f>
        <v>0</v>
      </c>
      <c r="I7" s="137">
        <f>'Строительная смета'!N24</f>
        <v>0</v>
      </c>
      <c r="J7" s="137">
        <f>'Строительная смета'!O24</f>
        <v>0</v>
      </c>
      <c r="K7" s="137">
        <f>'Строительная смета'!P24</f>
        <v>0</v>
      </c>
      <c r="L7" s="137">
        <f>'Строительная смета'!Q24</f>
        <v>0</v>
      </c>
      <c r="M7" s="137">
        <f>'Строительная смета'!R24</f>
        <v>0</v>
      </c>
      <c r="N7" s="137">
        <f>'Строительная смета'!S24</f>
        <v>0</v>
      </c>
      <c r="O7" s="137">
        <f>'Строительная смета'!T24</f>
        <v>0</v>
      </c>
      <c r="P7" s="137">
        <f>'Строительная смета'!U24</f>
        <v>0</v>
      </c>
      <c r="Q7" s="137">
        <f>'Строительная смета'!V24</f>
        <v>0</v>
      </c>
      <c r="R7" s="137">
        <f>'Строительная смета'!W24</f>
        <v>0</v>
      </c>
      <c r="S7" s="137">
        <f>'Строительная смета'!X24</f>
        <v>0</v>
      </c>
      <c r="T7" s="137">
        <f>'Строительная смета'!Y24</f>
        <v>0</v>
      </c>
      <c r="U7" s="137">
        <f>'Строительная смета'!Z24</f>
        <v>0</v>
      </c>
      <c r="V7" s="137">
        <f>'Строительная смета'!AA24</f>
        <v>0</v>
      </c>
      <c r="W7" s="137">
        <f>'Строительная смета'!AB24</f>
        <v>0</v>
      </c>
      <c r="X7" s="137">
        <f>'Строительная смета'!AC24</f>
        <v>0</v>
      </c>
      <c r="Y7" s="137">
        <f>'Строительная смета'!AD24</f>
        <v>0</v>
      </c>
      <c r="Z7" s="137">
        <f>'Строительная смета'!AE24</f>
        <v>0</v>
      </c>
      <c r="AA7" s="137">
        <f>'Строительная смета'!AF24</f>
        <v>0</v>
      </c>
      <c r="AB7" s="101">
        <f>SUM(C7:AA7)</f>
        <v>25017113</v>
      </c>
    </row>
    <row r="8" spans="1:28" x14ac:dyDescent="0.25">
      <c r="A8" s="5"/>
      <c r="B8" s="18" t="s">
        <v>172</v>
      </c>
      <c r="C8" s="137">
        <f>'Строительная смета'!H34</f>
        <v>0</v>
      </c>
      <c r="D8" s="137">
        <f>'Строительная смета'!I34</f>
        <v>0</v>
      </c>
      <c r="E8" s="137">
        <f>'Строительная смета'!J34</f>
        <v>7000000</v>
      </c>
      <c r="F8" s="137">
        <f>'Строительная смета'!K34</f>
        <v>1775000</v>
      </c>
      <c r="G8" s="137">
        <f>'Строительная смета'!L34</f>
        <v>0</v>
      </c>
      <c r="H8" s="137">
        <f>'Строительная смета'!M34</f>
        <v>0</v>
      </c>
      <c r="I8" s="137">
        <f>'Строительная смета'!N34</f>
        <v>0</v>
      </c>
      <c r="J8" s="137">
        <f>'Строительная смета'!O34</f>
        <v>0</v>
      </c>
      <c r="K8" s="137">
        <f>'Строительная смета'!P34</f>
        <v>0</v>
      </c>
      <c r="L8" s="137">
        <f>'Строительная смета'!Q34</f>
        <v>0</v>
      </c>
      <c r="M8" s="137">
        <f>'Строительная смета'!R34</f>
        <v>0</v>
      </c>
      <c r="N8" s="137">
        <f>'Строительная смета'!S34</f>
        <v>0</v>
      </c>
      <c r="O8" s="137">
        <f>'Строительная смета'!T34</f>
        <v>0</v>
      </c>
      <c r="P8" s="137">
        <f>'Строительная смета'!U34</f>
        <v>0</v>
      </c>
      <c r="Q8" s="137">
        <f>'Строительная смета'!V34</f>
        <v>0</v>
      </c>
      <c r="R8" s="137">
        <f>'Строительная смета'!W34</f>
        <v>0</v>
      </c>
      <c r="S8" s="137">
        <f>'Строительная смета'!X34</f>
        <v>0</v>
      </c>
      <c r="T8" s="137">
        <f>'Строительная смета'!Y34</f>
        <v>0</v>
      </c>
      <c r="U8" s="137">
        <f>'Строительная смета'!Z34</f>
        <v>0</v>
      </c>
      <c r="V8" s="137">
        <f>'Строительная смета'!AA34</f>
        <v>0</v>
      </c>
      <c r="W8" s="137">
        <f>'Строительная смета'!AB34</f>
        <v>0</v>
      </c>
      <c r="X8" s="137">
        <f>'Строительная смета'!AC34</f>
        <v>0</v>
      </c>
      <c r="Y8" s="137">
        <f>'Строительная смета'!AD34</f>
        <v>0</v>
      </c>
      <c r="Z8" s="137">
        <f>'Строительная смета'!AE34</f>
        <v>0</v>
      </c>
      <c r="AA8" s="137">
        <f>'Строительная смета'!AF34</f>
        <v>0</v>
      </c>
      <c r="AB8" s="101">
        <f>SUM(C8:AA8)</f>
        <v>8775000</v>
      </c>
    </row>
    <row r="9" spans="1:28" x14ac:dyDescent="0.25">
      <c r="A9" s="5"/>
      <c r="B9" s="18" t="s">
        <v>173</v>
      </c>
      <c r="C9" s="137">
        <f>'Строительная смета'!H40</f>
        <v>0</v>
      </c>
      <c r="D9" s="137">
        <f>'Строительная смета'!I40</f>
        <v>0</v>
      </c>
      <c r="E9" s="137">
        <f>'Строительная смета'!J40</f>
        <v>0</v>
      </c>
      <c r="F9" s="137">
        <f>'Строительная смета'!K40</f>
        <v>2242515</v>
      </c>
      <c r="G9" s="137">
        <f>'Строительная смета'!L40</f>
        <v>0</v>
      </c>
      <c r="H9" s="137">
        <f>'Строительная смета'!M40</f>
        <v>0</v>
      </c>
      <c r="I9" s="137">
        <f>'Строительная смета'!N40</f>
        <v>0</v>
      </c>
      <c r="J9" s="137">
        <f>'Строительная смета'!O40</f>
        <v>0</v>
      </c>
      <c r="K9" s="137">
        <f>'Строительная смета'!P40</f>
        <v>0</v>
      </c>
      <c r="L9" s="137">
        <f>'Строительная смета'!Q40</f>
        <v>0</v>
      </c>
      <c r="M9" s="137">
        <f>'Строительная смета'!R40</f>
        <v>0</v>
      </c>
      <c r="N9" s="137">
        <f>'Строительная смета'!S40</f>
        <v>0</v>
      </c>
      <c r="O9" s="137">
        <f>'Строительная смета'!T40</f>
        <v>0</v>
      </c>
      <c r="P9" s="137">
        <f>'Строительная смета'!U40</f>
        <v>0</v>
      </c>
      <c r="Q9" s="137">
        <f>'Строительная смета'!V40</f>
        <v>0</v>
      </c>
      <c r="R9" s="137">
        <f>'Строительная смета'!W40</f>
        <v>0</v>
      </c>
      <c r="S9" s="137">
        <f>'Строительная смета'!X40</f>
        <v>0</v>
      </c>
      <c r="T9" s="137">
        <f>'Строительная смета'!Y40</f>
        <v>0</v>
      </c>
      <c r="U9" s="137">
        <f>'Строительная смета'!Z40</f>
        <v>0</v>
      </c>
      <c r="V9" s="137">
        <f>'Строительная смета'!AA40</f>
        <v>0</v>
      </c>
      <c r="W9" s="137">
        <f>'Строительная смета'!AB40</f>
        <v>0</v>
      </c>
      <c r="X9" s="137">
        <f>'Строительная смета'!AC40</f>
        <v>0</v>
      </c>
      <c r="Y9" s="137">
        <f>'Строительная смета'!AD40</f>
        <v>0</v>
      </c>
      <c r="Z9" s="137">
        <f>'Строительная смета'!AE40</f>
        <v>0</v>
      </c>
      <c r="AA9" s="137">
        <f>'Строительная смета'!AF40</f>
        <v>0</v>
      </c>
      <c r="AB9" s="101">
        <f>SUM(C9:AA9)</f>
        <v>2242515</v>
      </c>
    </row>
    <row r="10" spans="1:28" x14ac:dyDescent="0.25">
      <c r="A10" s="5"/>
      <c r="B10" s="20" t="s">
        <v>57</v>
      </c>
      <c r="C10" s="101">
        <f t="shared" ref="C10:AA10" si="0">SUM(C6:C9)</f>
        <v>1298000</v>
      </c>
      <c r="D10" s="101">
        <f t="shared" si="0"/>
        <v>17430000</v>
      </c>
      <c r="E10" s="101">
        <f t="shared" si="0"/>
        <v>15000000</v>
      </c>
      <c r="F10" s="101">
        <f t="shared" si="0"/>
        <v>5034628</v>
      </c>
      <c r="G10" s="101">
        <f t="shared" si="0"/>
        <v>0</v>
      </c>
      <c r="H10" s="101">
        <f t="shared" si="0"/>
        <v>0</v>
      </c>
      <c r="I10" s="101">
        <f t="shared" si="0"/>
        <v>0</v>
      </c>
      <c r="J10" s="101">
        <f t="shared" si="0"/>
        <v>0</v>
      </c>
      <c r="K10" s="101">
        <f t="shared" si="0"/>
        <v>0</v>
      </c>
      <c r="L10" s="101">
        <f t="shared" si="0"/>
        <v>0</v>
      </c>
      <c r="M10" s="101">
        <f t="shared" si="0"/>
        <v>0</v>
      </c>
      <c r="N10" s="101">
        <f t="shared" si="0"/>
        <v>0</v>
      </c>
      <c r="O10" s="101">
        <f t="shared" si="0"/>
        <v>0</v>
      </c>
      <c r="P10" s="101">
        <f t="shared" si="0"/>
        <v>0</v>
      </c>
      <c r="Q10" s="101">
        <f t="shared" si="0"/>
        <v>0</v>
      </c>
      <c r="R10" s="101">
        <f t="shared" si="0"/>
        <v>0</v>
      </c>
      <c r="S10" s="101">
        <f t="shared" si="0"/>
        <v>0</v>
      </c>
      <c r="T10" s="101">
        <f t="shared" si="0"/>
        <v>0</v>
      </c>
      <c r="U10" s="101">
        <f t="shared" si="0"/>
        <v>0</v>
      </c>
      <c r="V10" s="101">
        <f t="shared" si="0"/>
        <v>0</v>
      </c>
      <c r="W10" s="101">
        <f t="shared" si="0"/>
        <v>0</v>
      </c>
      <c r="X10" s="101">
        <f t="shared" si="0"/>
        <v>0</v>
      </c>
      <c r="Y10" s="101">
        <f t="shared" si="0"/>
        <v>0</v>
      </c>
      <c r="Z10" s="101">
        <f t="shared" si="0"/>
        <v>0</v>
      </c>
      <c r="AA10" s="101">
        <f t="shared" si="0"/>
        <v>0</v>
      </c>
      <c r="AB10" s="101">
        <f>SUM(C10:AA10)</f>
        <v>38762628</v>
      </c>
    </row>
    <row r="11" spans="1:28" x14ac:dyDescent="0.25">
      <c r="A11" s="5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3"/>
    </row>
    <row r="12" spans="1:28" ht="18.75" x14ac:dyDescent="0.3">
      <c r="A12" s="31"/>
      <c r="B12" s="16" t="s">
        <v>54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3"/>
    </row>
    <row r="13" spans="1:28" x14ac:dyDescent="0.25">
      <c r="A13" s="5"/>
      <c r="B13" s="18" t="s">
        <v>64</v>
      </c>
      <c r="C13" s="137"/>
      <c r="D13" s="137"/>
      <c r="E13" s="137"/>
      <c r="F13" s="137"/>
      <c r="G13" s="137">
        <f>'Эксплуатация и ТО'!$C12*3</f>
        <v>18000</v>
      </c>
      <c r="H13" s="137">
        <f>'Эксплуатация и ТО'!$C12*3</f>
        <v>18000</v>
      </c>
      <c r="I13" s="137">
        <f>'Эксплуатация и ТО'!$C12*3</f>
        <v>18000</v>
      </c>
      <c r="J13" s="137">
        <f>'Эксплуатация и ТО'!$C12*3</f>
        <v>18000</v>
      </c>
      <c r="K13" s="137">
        <f>'Эксплуатация и ТО'!$C12*3</f>
        <v>18000</v>
      </c>
      <c r="L13" s="137">
        <f>'Эксплуатация и ТО'!$C12*3</f>
        <v>18000</v>
      </c>
      <c r="M13" s="137">
        <f>'Эксплуатация и ТО'!$C12*3</f>
        <v>18000</v>
      </c>
      <c r="N13" s="137">
        <f>'Эксплуатация и ТО'!$C12*3</f>
        <v>18000</v>
      </c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01">
        <f>SUM(C13:AA13)</f>
        <v>144000</v>
      </c>
    </row>
    <row r="14" spans="1:28" x14ac:dyDescent="0.25">
      <c r="A14" s="5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3"/>
    </row>
    <row r="15" spans="1:28" ht="18.75" x14ac:dyDescent="0.3">
      <c r="A15" s="31"/>
      <c r="B15" s="16" t="s">
        <v>62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3"/>
    </row>
    <row r="16" spans="1:28" x14ac:dyDescent="0.25">
      <c r="A16" s="5"/>
      <c r="B16" s="18" t="s">
        <v>444</v>
      </c>
      <c r="C16" s="137"/>
      <c r="D16" s="137">
        <f>Параметры!C35*'Сводные данные с индексацией'!AB12</f>
        <v>1193093.1463100705</v>
      </c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01">
        <f t="shared" ref="AB16:AB20" si="1">SUM(C16:AA16)</f>
        <v>1193093.1463100705</v>
      </c>
    </row>
    <row r="17" spans="1:28" x14ac:dyDescent="0.25">
      <c r="A17" s="5"/>
      <c r="B17" s="18" t="s">
        <v>63</v>
      </c>
      <c r="C17" s="137">
        <f>'Аренда зем. уч.'!$E6/4</f>
        <v>10259.29125</v>
      </c>
      <c r="D17" s="137">
        <f>'Аренда зем. уч.'!$E6/4</f>
        <v>10259.29125</v>
      </c>
      <c r="E17" s="137">
        <f>'Аренда зем. уч.'!$E6/4</f>
        <v>10259.29125</v>
      </c>
      <c r="F17" s="137">
        <f>'Аренда зем. уч.'!$E6/4</f>
        <v>10259.29125</v>
      </c>
      <c r="G17" s="137">
        <f>'Аренда зем. уч.'!$E6/4</f>
        <v>10259.29125</v>
      </c>
      <c r="H17" s="137">
        <f>'Аренда зем. уч.'!$E6/4</f>
        <v>10259.29125</v>
      </c>
      <c r="I17" s="137">
        <f>'Аренда зем. уч.'!$E6/4</f>
        <v>10259.29125</v>
      </c>
      <c r="J17" s="137">
        <f>'Аренда зем. уч.'!$E6/4</f>
        <v>10259.29125</v>
      </c>
      <c r="K17" s="137">
        <f>'Аренда зем. уч.'!$E6/4</f>
        <v>10259.29125</v>
      </c>
      <c r="L17" s="137">
        <f>'Аренда зем. уч.'!$E6/4</f>
        <v>10259.29125</v>
      </c>
      <c r="M17" s="137">
        <f>'Аренда зем. уч.'!$E6/4</f>
        <v>10259.29125</v>
      </c>
      <c r="N17" s="137">
        <f>'Аренда зем. уч.'!$E6/4</f>
        <v>10259.29125</v>
      </c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01">
        <f t="shared" si="1"/>
        <v>123111.49499999998</v>
      </c>
    </row>
    <row r="18" spans="1:28" x14ac:dyDescent="0.25">
      <c r="A18" s="5"/>
      <c r="B18" s="18" t="s">
        <v>49</v>
      </c>
      <c r="C18" s="137">
        <f>'Штатное расписание'!$G10*3</f>
        <v>495000</v>
      </c>
      <c r="D18" s="137">
        <f>'Штатное расписание'!$G10*3</f>
        <v>495000</v>
      </c>
      <c r="E18" s="137">
        <f>'Штатное расписание'!$G10*3</f>
        <v>495000</v>
      </c>
      <c r="F18" s="137">
        <f>'Штатное расписание'!$G10*3</f>
        <v>495000</v>
      </c>
      <c r="G18" s="137">
        <f>'Штатное расписание'!$G10*3</f>
        <v>495000</v>
      </c>
      <c r="H18" s="137">
        <f>'Штатное расписание'!$G17</f>
        <v>0</v>
      </c>
      <c r="I18" s="137">
        <f>'Штатное расписание'!$G17</f>
        <v>0</v>
      </c>
      <c r="J18" s="137">
        <f>'Штатное расписание'!$G17</f>
        <v>0</v>
      </c>
      <c r="K18" s="137">
        <f>'Штатное расписание'!$G17</f>
        <v>0</v>
      </c>
      <c r="L18" s="137">
        <f>'Штатное расписание'!$G17</f>
        <v>0</v>
      </c>
      <c r="M18" s="137">
        <f>'Штатное расписание'!$G17</f>
        <v>0</v>
      </c>
      <c r="N18" s="137">
        <f>'Штатное расписание'!$G17</f>
        <v>0</v>
      </c>
      <c r="O18" s="137"/>
      <c r="P18" s="137">
        <f>'Штатное расписание'!$G17</f>
        <v>0</v>
      </c>
      <c r="Q18" s="137">
        <f>'Штатное расписание'!$G17</f>
        <v>0</v>
      </c>
      <c r="R18" s="137">
        <f>'Штатное расписание'!$G17</f>
        <v>0</v>
      </c>
      <c r="S18" s="137">
        <f>'Штатное расписание'!$G17</f>
        <v>0</v>
      </c>
      <c r="T18" s="137">
        <f>'Штатное расписание'!$G17</f>
        <v>0</v>
      </c>
      <c r="U18" s="137">
        <f>'Штатное расписание'!$G17</f>
        <v>0</v>
      </c>
      <c r="V18" s="137">
        <f>'Штатное расписание'!$G17</f>
        <v>0</v>
      </c>
      <c r="W18" s="137">
        <f>'Штатное расписание'!$G17</f>
        <v>0</v>
      </c>
      <c r="X18" s="137">
        <f>'Штатное расписание'!$G17</f>
        <v>0</v>
      </c>
      <c r="Y18" s="137">
        <f>'Штатное расписание'!$G17</f>
        <v>0</v>
      </c>
      <c r="Z18" s="137">
        <f>'Штатное расписание'!$G17</f>
        <v>0</v>
      </c>
      <c r="AA18" s="137">
        <f>'Штатное расписание'!$G17</f>
        <v>0</v>
      </c>
      <c r="AB18" s="101">
        <f t="shared" si="1"/>
        <v>2475000</v>
      </c>
    </row>
    <row r="19" spans="1:28" x14ac:dyDescent="0.25">
      <c r="A19" s="5"/>
      <c r="B19" s="18" t="s">
        <v>50</v>
      </c>
      <c r="C19" s="137">
        <f>C18*Параметры!$C27</f>
        <v>148500.00000000003</v>
      </c>
      <c r="D19" s="137">
        <f>D18*Параметры!$C27</f>
        <v>148500.00000000003</v>
      </c>
      <c r="E19" s="137">
        <f>E18*Параметры!$C27</f>
        <v>148500.00000000003</v>
      </c>
      <c r="F19" s="137">
        <f>F18*Параметры!$C27</f>
        <v>148500.00000000003</v>
      </c>
      <c r="G19" s="137">
        <f>G18*Параметры!$C27</f>
        <v>148500.00000000003</v>
      </c>
      <c r="H19" s="137">
        <f>H18*Параметры!$C27</f>
        <v>0</v>
      </c>
      <c r="I19" s="137">
        <f>I18*Параметры!$C27</f>
        <v>0</v>
      </c>
      <c r="J19" s="137">
        <f>J18*Параметры!$C27</f>
        <v>0</v>
      </c>
      <c r="K19" s="137">
        <f>K18*Параметры!$C27</f>
        <v>0</v>
      </c>
      <c r="L19" s="137">
        <f>L18*Параметры!$C27</f>
        <v>0</v>
      </c>
      <c r="M19" s="137">
        <f>M18*Параметры!$C27</f>
        <v>0</v>
      </c>
      <c r="N19" s="137">
        <f>N18*Параметры!$C27</f>
        <v>0</v>
      </c>
      <c r="O19" s="137"/>
      <c r="P19" s="137">
        <f>P18*Параметры!$C27</f>
        <v>0</v>
      </c>
      <c r="Q19" s="137">
        <f>Q18*Параметры!$C27</f>
        <v>0</v>
      </c>
      <c r="R19" s="137">
        <f>R18*Параметры!$C27</f>
        <v>0</v>
      </c>
      <c r="S19" s="137">
        <f>S18*Параметры!$C27</f>
        <v>0</v>
      </c>
      <c r="T19" s="137">
        <f>T18*Параметры!$C27</f>
        <v>0</v>
      </c>
      <c r="U19" s="137">
        <f>U18*Параметры!$C27</f>
        <v>0</v>
      </c>
      <c r="V19" s="137">
        <f>V18*Параметры!$C27</f>
        <v>0</v>
      </c>
      <c r="W19" s="137">
        <f>W18*Параметры!$C27</f>
        <v>0</v>
      </c>
      <c r="X19" s="137">
        <f>X18*Параметры!$C27</f>
        <v>0</v>
      </c>
      <c r="Y19" s="137">
        <f>Y18*Параметры!$C27</f>
        <v>0</v>
      </c>
      <c r="Z19" s="137">
        <f>Z18*Параметры!$C27</f>
        <v>0</v>
      </c>
      <c r="AA19" s="137">
        <f>AA18*Параметры!$C27</f>
        <v>0</v>
      </c>
      <c r="AB19" s="101">
        <f t="shared" si="1"/>
        <v>742500.00000000012</v>
      </c>
    </row>
    <row r="20" spans="1:28" x14ac:dyDescent="0.25">
      <c r="A20" s="5"/>
      <c r="B20" s="20" t="s">
        <v>57</v>
      </c>
      <c r="C20" s="106">
        <f t="shared" ref="C20:AA20" si="2">SUM(C16:C19)</f>
        <v>653759.29125000001</v>
      </c>
      <c r="D20" s="106">
        <f t="shared" si="2"/>
        <v>1846852.4375600705</v>
      </c>
      <c r="E20" s="106">
        <f t="shared" si="2"/>
        <v>653759.29125000001</v>
      </c>
      <c r="F20" s="106">
        <f t="shared" si="2"/>
        <v>653759.29125000001</v>
      </c>
      <c r="G20" s="106">
        <f t="shared" si="2"/>
        <v>653759.29125000001</v>
      </c>
      <c r="H20" s="106">
        <f t="shared" si="2"/>
        <v>10259.29125</v>
      </c>
      <c r="I20" s="106">
        <f t="shared" si="2"/>
        <v>10259.29125</v>
      </c>
      <c r="J20" s="106">
        <f t="shared" si="2"/>
        <v>10259.29125</v>
      </c>
      <c r="K20" s="106">
        <f t="shared" si="2"/>
        <v>10259.29125</v>
      </c>
      <c r="L20" s="106">
        <f t="shared" si="2"/>
        <v>10259.29125</v>
      </c>
      <c r="M20" s="106">
        <f t="shared" si="2"/>
        <v>10259.29125</v>
      </c>
      <c r="N20" s="106">
        <f t="shared" si="2"/>
        <v>10259.29125</v>
      </c>
      <c r="O20" s="106"/>
      <c r="P20" s="106">
        <f t="shared" si="2"/>
        <v>0</v>
      </c>
      <c r="Q20" s="106">
        <f t="shared" si="2"/>
        <v>0</v>
      </c>
      <c r="R20" s="106">
        <f t="shared" si="2"/>
        <v>0</v>
      </c>
      <c r="S20" s="106">
        <f t="shared" si="2"/>
        <v>0</v>
      </c>
      <c r="T20" s="106">
        <f t="shared" si="2"/>
        <v>0</v>
      </c>
      <c r="U20" s="106">
        <f t="shared" si="2"/>
        <v>0</v>
      </c>
      <c r="V20" s="106">
        <f t="shared" si="2"/>
        <v>0</v>
      </c>
      <c r="W20" s="106">
        <f t="shared" si="2"/>
        <v>0</v>
      </c>
      <c r="X20" s="106">
        <f t="shared" si="2"/>
        <v>0</v>
      </c>
      <c r="Y20" s="106">
        <f t="shared" si="2"/>
        <v>0</v>
      </c>
      <c r="Z20" s="106">
        <f t="shared" si="2"/>
        <v>0</v>
      </c>
      <c r="AA20" s="106">
        <f t="shared" si="2"/>
        <v>0</v>
      </c>
      <c r="AB20" s="101">
        <f t="shared" si="1"/>
        <v>4533704.6413100688</v>
      </c>
    </row>
    <row r="21" spans="1:28" x14ac:dyDescent="0.25">
      <c r="A21" s="5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3"/>
    </row>
    <row r="22" spans="1:28" ht="18.75" x14ac:dyDescent="0.3">
      <c r="A22" s="31"/>
      <c r="B22" s="16" t="s">
        <v>51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3"/>
    </row>
    <row r="23" spans="1:28" x14ac:dyDescent="0.25">
      <c r="A23" s="5"/>
      <c r="B23" s="18" t="s">
        <v>52</v>
      </c>
      <c r="C23" s="104">
        <f>'Бюджетное финансирование'!D5</f>
        <v>0</v>
      </c>
      <c r="D23" s="104">
        <f>'Бюджетное финансирование'!E5</f>
        <v>0</v>
      </c>
      <c r="E23" s="104">
        <f>'Бюджетное финансирование'!F5</f>
        <v>0</v>
      </c>
      <c r="F23" s="104">
        <f>'Бюджетное финансирование'!G5</f>
        <v>0</v>
      </c>
      <c r="G23" s="104">
        <f>'Бюджетное финансирование'!H5</f>
        <v>20000000</v>
      </c>
      <c r="H23" s="104">
        <f>'Бюджетное финансирование'!I5</f>
        <v>24501662.849510811</v>
      </c>
      <c r="I23" s="104">
        <f>'Бюджетное финансирование'!J5</f>
        <v>0</v>
      </c>
      <c r="J23" s="104">
        <f>'Бюджетное финансирование'!K5</f>
        <v>0</v>
      </c>
      <c r="K23" s="104">
        <f>'Бюджетное финансирование'!L5</f>
        <v>0</v>
      </c>
      <c r="L23" s="104">
        <f>'Бюджетное финансирование'!M5</f>
        <v>0</v>
      </c>
      <c r="M23" s="104">
        <f>'Бюджетное финансирование'!N5</f>
        <v>0</v>
      </c>
      <c r="N23" s="104">
        <f>'Бюджетное финансирование'!O5</f>
        <v>0</v>
      </c>
      <c r="O23" s="104">
        <f>'Бюджетное финансирование'!P5</f>
        <v>0</v>
      </c>
      <c r="P23" s="104">
        <f>'Бюджетное финансирование'!Q5</f>
        <v>0</v>
      </c>
      <c r="Q23" s="104">
        <f>'Бюджетное финансирование'!R5</f>
        <v>0</v>
      </c>
      <c r="R23" s="104">
        <f>'Бюджетное финансирование'!S5</f>
        <v>0</v>
      </c>
      <c r="S23" s="104">
        <f>'Бюджетное финансирование'!T5</f>
        <v>0</v>
      </c>
      <c r="T23" s="104">
        <f>'Бюджетное финансирование'!U5</f>
        <v>0</v>
      </c>
      <c r="U23" s="104">
        <f>'Бюджетное финансирование'!V5</f>
        <v>0</v>
      </c>
      <c r="V23" s="104">
        <f>'Бюджетное финансирование'!W5</f>
        <v>0</v>
      </c>
      <c r="W23" s="104">
        <f>'Бюджетное финансирование'!X5</f>
        <v>0</v>
      </c>
      <c r="X23" s="104">
        <f>'Бюджетное финансирование'!Y5</f>
        <v>0</v>
      </c>
      <c r="Y23" s="104">
        <f>'Бюджетное финансирование'!Z5</f>
        <v>0</v>
      </c>
      <c r="Z23" s="104">
        <f>'Бюджетное финансирование'!AA5</f>
        <v>0</v>
      </c>
      <c r="AA23" s="104">
        <f>'Бюджетное финансирование'!AB5</f>
        <v>0</v>
      </c>
      <c r="AB23" s="101">
        <f>SUM(C23:AA23)</f>
        <v>44501662.849510811</v>
      </c>
    </row>
    <row r="24" spans="1:28" x14ac:dyDescent="0.25">
      <c r="A24" s="5"/>
      <c r="B24" s="18" t="s">
        <v>53</v>
      </c>
      <c r="C24" s="104">
        <f>'Бюджетное финансирование'!D13</f>
        <v>0</v>
      </c>
      <c r="D24" s="104">
        <f>'Бюджетное финансирование'!E13</f>
        <v>0</v>
      </c>
      <c r="E24" s="104">
        <f>'Бюджетное финансирование'!F13</f>
        <v>0</v>
      </c>
      <c r="F24" s="104">
        <f>'Бюджетное финансирование'!G13</f>
        <v>0</v>
      </c>
      <c r="G24" s="104">
        <f>'Бюджетное финансирование'!H13</f>
        <v>31834.210282149666</v>
      </c>
      <c r="H24" s="104">
        <f>'Бюджетное финансирование'!I13</f>
        <v>32147.885698225055</v>
      </c>
      <c r="I24" s="104">
        <f>'Бюджетное финансирование'!J13</f>
        <v>32464.651885699437</v>
      </c>
      <c r="J24" s="104">
        <f>'Бюджетное финансирование'!K13</f>
        <v>32784.539299199983</v>
      </c>
      <c r="K24" s="104">
        <f>'Бюджетное финансирование'!L13</f>
        <v>33107.578693435644</v>
      </c>
      <c r="L24" s="104">
        <f>'Бюджетное финансирование'!M13</f>
        <v>33433.801126154052</v>
      </c>
      <c r="M24" s="104">
        <f>'Бюджетное финансирование'!N13</f>
        <v>33763.237961127423</v>
      </c>
      <c r="N24" s="104">
        <f>'Бюджетное финансирование'!O13</f>
        <v>34095.920871167982</v>
      </c>
      <c r="O24" s="104">
        <f>'Бюджетное финансирование'!P13</f>
        <v>0</v>
      </c>
      <c r="P24" s="104">
        <f>'Бюджетное финансирование'!Q13</f>
        <v>0</v>
      </c>
      <c r="Q24" s="104">
        <f>'Бюджетное финансирование'!R13</f>
        <v>0</v>
      </c>
      <c r="R24" s="104">
        <f>'Бюджетное финансирование'!S13</f>
        <v>0</v>
      </c>
      <c r="S24" s="104">
        <f>'Бюджетное финансирование'!T13</f>
        <v>0</v>
      </c>
      <c r="T24" s="104">
        <f>'Бюджетное финансирование'!U13</f>
        <v>0</v>
      </c>
      <c r="U24" s="104">
        <f>'Бюджетное финансирование'!V13</f>
        <v>0</v>
      </c>
      <c r="V24" s="104">
        <f>'Бюджетное финансирование'!W13</f>
        <v>0</v>
      </c>
      <c r="W24" s="104">
        <f>'Бюджетное финансирование'!X13</f>
        <v>0</v>
      </c>
      <c r="X24" s="104">
        <f>'Бюджетное финансирование'!Y13</f>
        <v>0</v>
      </c>
      <c r="Y24" s="104">
        <f>'Бюджетное финансирование'!Z13</f>
        <v>0</v>
      </c>
      <c r="Z24" s="104">
        <f>'Бюджетное финансирование'!AA13</f>
        <v>0</v>
      </c>
      <c r="AA24" s="104">
        <f>'Бюджетное финансирование'!AB13</f>
        <v>0</v>
      </c>
      <c r="AB24" s="101">
        <f>SUM(C24:AA24)</f>
        <v>263631.82581715926</v>
      </c>
    </row>
    <row r="25" spans="1:28" x14ac:dyDescent="0.25">
      <c r="A25" s="5"/>
      <c r="B25" s="33" t="s">
        <v>57</v>
      </c>
      <c r="C25" s="106">
        <f t="shared" ref="C25:AA25" si="3">SUM(C23:C24)</f>
        <v>0</v>
      </c>
      <c r="D25" s="106">
        <f t="shared" si="3"/>
        <v>0</v>
      </c>
      <c r="E25" s="106">
        <f t="shared" si="3"/>
        <v>0</v>
      </c>
      <c r="F25" s="106">
        <f>SUM(F23:F24)</f>
        <v>0</v>
      </c>
      <c r="G25" s="106">
        <f t="shared" si="3"/>
        <v>20031834.210282151</v>
      </c>
      <c r="H25" s="106">
        <f t="shared" si="3"/>
        <v>24533810.735209037</v>
      </c>
      <c r="I25" s="106">
        <f t="shared" si="3"/>
        <v>32464.651885699437</v>
      </c>
      <c r="J25" s="106">
        <f t="shared" si="3"/>
        <v>32784.539299199983</v>
      </c>
      <c r="K25" s="106">
        <f t="shared" si="3"/>
        <v>33107.578693435644</v>
      </c>
      <c r="L25" s="106">
        <f t="shared" si="3"/>
        <v>33433.801126154052</v>
      </c>
      <c r="M25" s="106">
        <f t="shared" si="3"/>
        <v>33763.237961127423</v>
      </c>
      <c r="N25" s="106">
        <f t="shared" si="3"/>
        <v>34095.920871167982</v>
      </c>
      <c r="O25" s="106">
        <f t="shared" si="3"/>
        <v>0</v>
      </c>
      <c r="P25" s="106">
        <f t="shared" si="3"/>
        <v>0</v>
      </c>
      <c r="Q25" s="106">
        <f t="shared" si="3"/>
        <v>0</v>
      </c>
      <c r="R25" s="106">
        <f t="shared" si="3"/>
        <v>0</v>
      </c>
      <c r="S25" s="106">
        <f t="shared" si="3"/>
        <v>0</v>
      </c>
      <c r="T25" s="106">
        <f t="shared" si="3"/>
        <v>0</v>
      </c>
      <c r="U25" s="106">
        <f t="shared" si="3"/>
        <v>0</v>
      </c>
      <c r="V25" s="106">
        <f t="shared" si="3"/>
        <v>0</v>
      </c>
      <c r="W25" s="106">
        <f t="shared" si="3"/>
        <v>0</v>
      </c>
      <c r="X25" s="106">
        <f t="shared" si="3"/>
        <v>0</v>
      </c>
      <c r="Y25" s="106">
        <f t="shared" si="3"/>
        <v>0</v>
      </c>
      <c r="Z25" s="106">
        <f t="shared" si="3"/>
        <v>0</v>
      </c>
      <c r="AA25" s="106">
        <f t="shared" si="3"/>
        <v>0</v>
      </c>
      <c r="AB25" s="101">
        <f>SUM(C25:AA25)</f>
        <v>44765294.675327964</v>
      </c>
    </row>
    <row r="26" spans="1:28" x14ac:dyDescent="0.25">
      <c r="A26" s="5"/>
    </row>
    <row r="27" spans="1:28" ht="18.75" x14ac:dyDescent="0.3">
      <c r="A27" s="5"/>
      <c r="B27" s="16" t="s">
        <v>59</v>
      </c>
    </row>
  </sheetData>
  <hyperlinks>
    <hyperlink ref="A1" location="Структура!A1" display="к содержанию"/>
  </hyperlinks>
  <pageMargins left="0.7" right="0.7" top="0.75" bottom="0.75" header="0.3" footer="0.3"/>
  <pageSetup paperSize="9" orientation="portrait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4">
    <tabColor theme="4"/>
  </sheetPr>
  <dimension ref="A1:AC47"/>
  <sheetViews>
    <sheetView zoomScale="81" zoomScaleNormal="8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AC41" sqref="AC41"/>
    </sheetView>
  </sheetViews>
  <sheetFormatPr defaultRowHeight="15" x14ac:dyDescent="0.25"/>
  <cols>
    <col min="1" max="1" width="5.7109375" customWidth="1"/>
    <col min="2" max="2" width="49.85546875" customWidth="1"/>
    <col min="3" max="3" width="10.5703125" bestFit="1" customWidth="1"/>
    <col min="4" max="6" width="11.5703125" bestFit="1" customWidth="1"/>
    <col min="7" max="7" width="10.7109375" bestFit="1" customWidth="1"/>
    <col min="8" max="10" width="10.5703125" bestFit="1" customWidth="1"/>
    <col min="11" max="11" width="11.5703125" bestFit="1" customWidth="1"/>
    <col min="12" max="13" width="9.85546875" bestFit="1" customWidth="1"/>
    <col min="14" max="14" width="10.42578125" bestFit="1" customWidth="1"/>
    <col min="15" max="27" width="9.85546875" bestFit="1" customWidth="1"/>
    <col min="28" max="28" width="12.42578125" customWidth="1"/>
    <col min="29" max="29" width="12" bestFit="1" customWidth="1"/>
  </cols>
  <sheetData>
    <row r="1" spans="1:28" x14ac:dyDescent="0.25">
      <c r="A1" s="1" t="s">
        <v>1</v>
      </c>
    </row>
    <row r="2" spans="1:28" x14ac:dyDescent="0.25">
      <c r="A2" s="1"/>
      <c r="B2" s="1"/>
    </row>
    <row r="3" spans="1:28" ht="18.75" x14ac:dyDescent="0.3">
      <c r="A3" s="1"/>
      <c r="B3" s="30" t="s">
        <v>70</v>
      </c>
      <c r="F3" s="110" t="s">
        <v>243</v>
      </c>
    </row>
    <row r="4" spans="1:28" x14ac:dyDescent="0.25">
      <c r="C4" t="s">
        <v>25</v>
      </c>
      <c r="D4" t="s">
        <v>26</v>
      </c>
      <c r="E4" t="s">
        <v>27</v>
      </c>
      <c r="F4" t="s">
        <v>28</v>
      </c>
      <c r="G4" t="s">
        <v>29</v>
      </c>
      <c r="H4" t="s">
        <v>30</v>
      </c>
      <c r="I4" t="s">
        <v>31</v>
      </c>
      <c r="J4" t="s">
        <v>32</v>
      </c>
      <c r="K4" t="s">
        <v>33</v>
      </c>
      <c r="L4" t="s">
        <v>34</v>
      </c>
      <c r="M4" t="s">
        <v>35</v>
      </c>
      <c r="N4" t="s">
        <v>36</v>
      </c>
      <c r="O4" t="s">
        <v>37</v>
      </c>
      <c r="P4" t="s">
        <v>38</v>
      </c>
      <c r="Q4" t="s">
        <v>39</v>
      </c>
      <c r="R4" t="s">
        <v>40</v>
      </c>
      <c r="S4" t="s">
        <v>41</v>
      </c>
      <c r="T4" t="s">
        <v>42</v>
      </c>
      <c r="U4" t="s">
        <v>43</v>
      </c>
      <c r="V4" t="s">
        <v>44</v>
      </c>
      <c r="W4" t="s">
        <v>45</v>
      </c>
      <c r="X4" t="s">
        <v>46</v>
      </c>
      <c r="Y4" t="s">
        <v>47</v>
      </c>
      <c r="Z4" t="s">
        <v>48</v>
      </c>
      <c r="AA4" t="s">
        <v>255</v>
      </c>
      <c r="AB4" t="s">
        <v>57</v>
      </c>
    </row>
    <row r="5" spans="1:28" ht="18.75" x14ac:dyDescent="0.3">
      <c r="B5" s="36" t="s">
        <v>111</v>
      </c>
      <c r="C5" s="37">
        <f>(Параметры!$C11+1)^(1/4)</f>
        <v>1.0098534065489688</v>
      </c>
      <c r="D5" s="37">
        <f>(Параметры!$C11+1)^(1/4)*C5</f>
        <v>1.0198039027185568</v>
      </c>
      <c r="E5" s="37">
        <f>(Параметры!$C11+1)^(1/4)*D5</f>
        <v>1.0298524451722677</v>
      </c>
      <c r="F5" s="37">
        <f>(Параметры!$C11+1)^(1/4)*E5</f>
        <v>1.0399999999999996</v>
      </c>
      <c r="G5" s="37">
        <f>(Параметры!$C11+1)^(1/4)*F5</f>
        <v>1.0502475428109272</v>
      </c>
      <c r="H5" s="37">
        <f>(Параметры!$C11+1)^(1/4)*G5</f>
        <v>1.0605960588272989</v>
      </c>
      <c r="I5" s="37">
        <f>(Параметры!$C11+1)^(1/4)*H5</f>
        <v>1.0710465429791582</v>
      </c>
      <c r="J5" s="37">
        <f>(Параметры!$C11+1)^(1/4)*I5</f>
        <v>1.0815999999999995</v>
      </c>
      <c r="K5" s="37">
        <f>(Параметры!$C11+1)^(1/4)*J5</f>
        <v>1.0922574445233642</v>
      </c>
      <c r="L5" s="37">
        <f>(Параметры!$C11+1)^(1/4)*K5</f>
        <v>1.1030199011803907</v>
      </c>
      <c r="M5" s="37">
        <f>(Параметры!$C11+1)^(1/4)*L5</f>
        <v>1.1138884046983246</v>
      </c>
      <c r="N5" s="37">
        <f>(Параметры!$C11+1)^(1/4)*M5</f>
        <v>1.1248639999999994</v>
      </c>
      <c r="O5" s="37">
        <f>(Параметры!$C11+1)^(1/4)*N5</f>
        <v>1.1359477423042987</v>
      </c>
      <c r="P5" s="37">
        <f>(Параметры!$C11+1)^(1/4)*O5</f>
        <v>1.1471406972276064</v>
      </c>
      <c r="Q5" s="37">
        <f>(Параметры!$C11+1)^(1/4)*P5</f>
        <v>1.1584439408862575</v>
      </c>
      <c r="R5" s="37">
        <f>(Параметры!$C11+1)^(1/4)*Q5</f>
        <v>1.1698585599999993</v>
      </c>
      <c r="S5" s="37">
        <f>(Параметры!$C11+1)^(1/4)*R5</f>
        <v>1.1813856519964705</v>
      </c>
      <c r="T5" s="37">
        <f>(Параметры!$C11+1)^(1/4)*S5</f>
        <v>1.1930263251167104</v>
      </c>
      <c r="U5" s="37">
        <f>(Параметры!$C11+1)^(1/4)*T5</f>
        <v>1.2047816985217075</v>
      </c>
      <c r="V5" s="37">
        <f>(Параметры!$C11+1)^(1/4)*U5</f>
        <v>1.216652902399999</v>
      </c>
      <c r="W5" s="37">
        <f>(Параметры!$C11+1)^(1/4)*V5</f>
        <v>1.2286410780763291</v>
      </c>
      <c r="X5" s="37">
        <f>(Параметры!$C11+1)^(1/4)*W5</f>
        <v>1.2407473781213785</v>
      </c>
      <c r="Y5" s="37">
        <f>(Параметры!$C11+1)^(1/4)*X5</f>
        <v>1.2529729664625755</v>
      </c>
      <c r="Z5" s="37">
        <f>(Параметры!$C11+1)^(1/4)*Y5</f>
        <v>1.2653190184959988</v>
      </c>
      <c r="AA5" s="37">
        <f>(Параметры!$C11+1)^(1/4)*Z5</f>
        <v>1.2777867211993821</v>
      </c>
    </row>
    <row r="6" spans="1:28" x14ac:dyDescent="0.25">
      <c r="G6" s="107"/>
    </row>
    <row r="7" spans="1:28" ht="18.75" x14ac:dyDescent="0.3">
      <c r="A7" s="16"/>
      <c r="B7" s="16" t="s">
        <v>257</v>
      </c>
      <c r="C7" s="99"/>
      <c r="D7" s="99"/>
      <c r="E7" s="99"/>
      <c r="F7" s="99"/>
      <c r="G7" s="180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</row>
    <row r="8" spans="1:28" x14ac:dyDescent="0.25">
      <c r="A8" s="5"/>
      <c r="B8" s="18" t="s">
        <v>170</v>
      </c>
      <c r="C8" s="100">
        <f>'Сводные данные'!C6*'Сводные данные с индексацией'!C$5</f>
        <v>1310789.7217005615</v>
      </c>
      <c r="D8" s="100">
        <f>'Сводные данные'!D6*'Сводные данные с индексацией'!D$5</f>
        <v>1458319.5808875363</v>
      </c>
      <c r="E8" s="100">
        <f>'Сводные данные'!E6*'Сводные данные с индексацией'!E$5</f>
        <v>0</v>
      </c>
      <c r="F8" s="100">
        <f>'Сводные данные'!F6*'Сводные данные с индексацией'!F$5</f>
        <v>0</v>
      </c>
      <c r="G8" s="181">
        <f>'Сводные данные'!G6*'Сводные данные с индексацией'!G$5</f>
        <v>0</v>
      </c>
      <c r="H8" s="100">
        <f>'Сводные данные'!H6*'Сводные данные с индексацией'!H$5</f>
        <v>0</v>
      </c>
      <c r="I8" s="100">
        <f>'Сводные данные'!I6*'Сводные данные с индексацией'!I$5</f>
        <v>0</v>
      </c>
      <c r="J8" s="100">
        <f>'Сводные данные'!J6*'Сводные данные с индексацией'!J$5</f>
        <v>0</v>
      </c>
      <c r="K8" s="100">
        <f>'Сводные данные'!K6*'Сводные данные с индексацией'!K$5</f>
        <v>0</v>
      </c>
      <c r="L8" s="100">
        <f>'Сводные данные'!L6*'Сводные данные с индексацией'!L$5</f>
        <v>0</v>
      </c>
      <c r="M8" s="100">
        <f>'Сводные данные'!M6*'Сводные данные с индексацией'!M$5</f>
        <v>0</v>
      </c>
      <c r="N8" s="100">
        <f>'Сводные данные'!N6*'Сводные данные с индексацией'!N$5</f>
        <v>0</v>
      </c>
      <c r="O8" s="100">
        <f>'Сводные данные'!O6*'Сводные данные с индексацией'!O$5</f>
        <v>0</v>
      </c>
      <c r="P8" s="100">
        <f>'Сводные данные'!P6*'Сводные данные с индексацией'!P$5</f>
        <v>0</v>
      </c>
      <c r="Q8" s="100">
        <f>'Сводные данные'!Q6*'Сводные данные с индексацией'!Q$5</f>
        <v>0</v>
      </c>
      <c r="R8" s="100">
        <f>'Сводные данные'!R6*'Сводные данные с индексацией'!R$5</f>
        <v>0</v>
      </c>
      <c r="S8" s="100">
        <f>'Сводные данные'!S6*'Сводные данные с индексацией'!S$5</f>
        <v>0</v>
      </c>
      <c r="T8" s="100">
        <f>'Сводные данные'!T6*'Сводные данные с индексацией'!T$5</f>
        <v>0</v>
      </c>
      <c r="U8" s="100">
        <f>'Сводные данные'!U6*'Сводные данные с индексацией'!U$5</f>
        <v>0</v>
      </c>
      <c r="V8" s="100">
        <f>'Сводные данные'!V6*'Сводные данные с индексацией'!V$5</f>
        <v>0</v>
      </c>
      <c r="W8" s="100">
        <f>'Сводные данные'!W6*'Сводные данные с индексацией'!W$5</f>
        <v>0</v>
      </c>
      <c r="X8" s="100">
        <f>'Сводные данные'!X6*'Сводные данные с индексацией'!X$5</f>
        <v>0</v>
      </c>
      <c r="Y8" s="100">
        <f>'Сводные данные'!Y6*'Сводные данные с индексацией'!Y$5</f>
        <v>0</v>
      </c>
      <c r="Z8" s="100">
        <f>'Сводные данные'!Z6*'Сводные данные с индексацией'!Z$5</f>
        <v>0</v>
      </c>
      <c r="AA8" s="100">
        <f>'Сводные данные'!AA6*'Сводные данные с индексацией'!AA$5</f>
        <v>0</v>
      </c>
      <c r="AB8" s="34">
        <f>SUM(C8:AA8)</f>
        <v>2769109.3025880978</v>
      </c>
    </row>
    <row r="9" spans="1:28" x14ac:dyDescent="0.25">
      <c r="A9" s="5"/>
      <c r="B9" s="18" t="s">
        <v>171</v>
      </c>
      <c r="C9" s="100">
        <f>'Сводные данные'!C7*'Сводные данные с индексацией'!C$5</f>
        <v>0</v>
      </c>
      <c r="D9" s="100">
        <f>'Сводные данные'!D7*'Сводные данные с индексацией'!D$5</f>
        <v>16316862.443496909</v>
      </c>
      <c r="E9" s="100">
        <f>'Сводные данные'!E7*'Сводные данные с индексацией'!E$5</f>
        <v>8238819.5613781419</v>
      </c>
      <c r="F9" s="100">
        <f>'Сводные данные'!F7*'Сводные данные с индексацией'!F$5</f>
        <v>1057797.5199999996</v>
      </c>
      <c r="G9" s="181">
        <f>'Сводные данные'!G7*'Сводные данные с индексацией'!G$5</f>
        <v>0</v>
      </c>
      <c r="H9" s="100">
        <f>'Сводные данные'!H7*'Сводные данные с индексацией'!H$5</f>
        <v>0</v>
      </c>
      <c r="I9" s="100">
        <f>'Сводные данные'!I7*'Сводные данные с индексацией'!I$5</f>
        <v>0</v>
      </c>
      <c r="J9" s="100">
        <f>'Сводные данные'!J7*'Сводные данные с индексацией'!J$5</f>
        <v>0</v>
      </c>
      <c r="K9" s="100">
        <f>'Сводные данные'!K7*'Сводные данные с индексацией'!K$5</f>
        <v>0</v>
      </c>
      <c r="L9" s="100">
        <f>'Сводные данные'!L7*'Сводные данные с индексацией'!L$5</f>
        <v>0</v>
      </c>
      <c r="M9" s="100">
        <f>'Сводные данные'!M7*'Сводные данные с индексацией'!M$5</f>
        <v>0</v>
      </c>
      <c r="N9" s="100">
        <f>'Сводные данные'!N7*'Сводные данные с индексацией'!N$5</f>
        <v>0</v>
      </c>
      <c r="O9" s="100">
        <f>'Сводные данные'!O7*'Сводные данные с индексацией'!O$5</f>
        <v>0</v>
      </c>
      <c r="P9" s="100">
        <f>'Сводные данные'!P7*'Сводные данные с индексацией'!P$5</f>
        <v>0</v>
      </c>
      <c r="Q9" s="100">
        <f>'Сводные данные'!Q7*'Сводные данные с индексацией'!Q$5</f>
        <v>0</v>
      </c>
      <c r="R9" s="100">
        <f>'Сводные данные'!R7*'Сводные данные с индексацией'!R$5</f>
        <v>0</v>
      </c>
      <c r="S9" s="100">
        <f>'Сводные данные'!S7*'Сводные данные с индексацией'!S$5</f>
        <v>0</v>
      </c>
      <c r="T9" s="100">
        <f>'Сводные данные'!T7*'Сводные данные с индексацией'!T$5</f>
        <v>0</v>
      </c>
      <c r="U9" s="100">
        <f>'Сводные данные'!U7*'Сводные данные с индексацией'!U$5</f>
        <v>0</v>
      </c>
      <c r="V9" s="100">
        <f>'Сводные данные'!V7*'Сводные данные с индексацией'!V$5</f>
        <v>0</v>
      </c>
      <c r="W9" s="100">
        <f>'Сводные данные'!W7*'Сводные данные с индексацией'!W$5</f>
        <v>0</v>
      </c>
      <c r="X9" s="100">
        <f>'Сводные данные'!X7*'Сводные данные с индексацией'!X$5</f>
        <v>0</v>
      </c>
      <c r="Y9" s="100">
        <f>'Сводные данные'!Y7*'Сводные данные с индексацией'!Y$5</f>
        <v>0</v>
      </c>
      <c r="Z9" s="100">
        <f>'Сводные данные'!Z7*'Сводные данные с индексацией'!Z$5</f>
        <v>0</v>
      </c>
      <c r="AA9" s="100">
        <f>'Сводные данные'!AA7*'Сводные данные с индексацией'!AA$5</f>
        <v>0</v>
      </c>
      <c r="AB9" s="34">
        <f t="shared" ref="AB9:AB12" si="0">SUM(C9:AA9)</f>
        <v>25613479.524875049</v>
      </c>
    </row>
    <row r="10" spans="1:28" x14ac:dyDescent="0.25">
      <c r="A10" s="5"/>
      <c r="B10" s="18" t="s">
        <v>172</v>
      </c>
      <c r="C10" s="100">
        <f>'Сводные данные'!C8*'Сводные данные с индексацией'!C$5</f>
        <v>0</v>
      </c>
      <c r="D10" s="100">
        <f>'Сводные данные'!D8*'Сводные данные с индексацией'!D$5</f>
        <v>0</v>
      </c>
      <c r="E10" s="100">
        <f>'Сводные данные'!E8*'Сводные данные с индексацией'!E$5</f>
        <v>7208967.1162058739</v>
      </c>
      <c r="F10" s="100">
        <f>'Сводные данные'!F8*'Сводные данные с индексацией'!F$5</f>
        <v>1845999.9999999993</v>
      </c>
      <c r="G10" s="181">
        <f>'Сводные данные'!G8*'Сводные данные с индексацией'!G$5</f>
        <v>0</v>
      </c>
      <c r="H10" s="100">
        <f>'Сводные данные'!H8*'Сводные данные с индексацией'!H$5</f>
        <v>0</v>
      </c>
      <c r="I10" s="100">
        <f>'Сводные данные'!I8*'Сводные данные с индексацией'!I$5</f>
        <v>0</v>
      </c>
      <c r="J10" s="100">
        <f>'Сводные данные'!J8*'Сводные данные с индексацией'!J$5</f>
        <v>0</v>
      </c>
      <c r="K10" s="100">
        <f>'Сводные данные'!K8*'Сводные данные с индексацией'!K$5</f>
        <v>0</v>
      </c>
      <c r="L10" s="100">
        <f>'Сводные данные'!L8*'Сводные данные с индексацией'!L$5</f>
        <v>0</v>
      </c>
      <c r="M10" s="100">
        <f>'Сводные данные'!M8*'Сводные данные с индексацией'!M$5</f>
        <v>0</v>
      </c>
      <c r="N10" s="100">
        <f>'Сводные данные'!N8*'Сводные данные с индексацией'!N$5</f>
        <v>0</v>
      </c>
      <c r="O10" s="100">
        <f>'Сводные данные'!O8*'Сводные данные с индексацией'!O$5</f>
        <v>0</v>
      </c>
      <c r="P10" s="100">
        <f>'Сводные данные'!P8*'Сводные данные с индексацией'!P$5</f>
        <v>0</v>
      </c>
      <c r="Q10" s="100">
        <f>'Сводные данные'!Q8*'Сводные данные с индексацией'!Q$5</f>
        <v>0</v>
      </c>
      <c r="R10" s="100">
        <f>'Сводные данные'!R8*'Сводные данные с индексацией'!R$5</f>
        <v>0</v>
      </c>
      <c r="S10" s="100">
        <f>'Сводные данные'!S8*'Сводные данные с индексацией'!S$5</f>
        <v>0</v>
      </c>
      <c r="T10" s="100">
        <f>'Сводные данные'!T8*'Сводные данные с индексацией'!T$5</f>
        <v>0</v>
      </c>
      <c r="U10" s="100">
        <f>'Сводные данные'!U8*'Сводные данные с индексацией'!U$5</f>
        <v>0</v>
      </c>
      <c r="V10" s="100">
        <f>'Сводные данные'!V8*'Сводные данные с индексацией'!V$5</f>
        <v>0</v>
      </c>
      <c r="W10" s="100">
        <f>'Сводные данные'!W8*'Сводные данные с индексацией'!W$5</f>
        <v>0</v>
      </c>
      <c r="X10" s="100">
        <f>'Сводные данные'!X8*'Сводные данные с индексацией'!X$5</f>
        <v>0</v>
      </c>
      <c r="Y10" s="100">
        <f>'Сводные данные'!Y8*'Сводные данные с индексацией'!Y$5</f>
        <v>0</v>
      </c>
      <c r="Z10" s="100">
        <f>'Сводные данные'!Z8*'Сводные данные с индексацией'!Z$5</f>
        <v>0</v>
      </c>
      <c r="AA10" s="100">
        <f>'Сводные данные'!AA8*'Сводные данные с индексацией'!AA$5</f>
        <v>0</v>
      </c>
      <c r="AB10" s="34">
        <f t="shared" si="0"/>
        <v>9054967.116205873</v>
      </c>
    </row>
    <row r="11" spans="1:28" x14ac:dyDescent="0.25">
      <c r="A11" s="5"/>
      <c r="B11" s="18" t="s">
        <v>173</v>
      </c>
      <c r="C11" s="100">
        <f>'Сводные данные'!C9*'Сводные данные с индексацией'!C$5</f>
        <v>0</v>
      </c>
      <c r="D11" s="100">
        <f>'Сводные данные'!D9*'Сводные данные с индексацией'!D$5</f>
        <v>0</v>
      </c>
      <c r="E11" s="100">
        <f>'Сводные данные'!E9*'Сводные данные с индексацией'!E$5</f>
        <v>0</v>
      </c>
      <c r="F11" s="100">
        <f>'Сводные данные'!F9*'Сводные данные с индексацией'!F$5</f>
        <v>2332215.5999999992</v>
      </c>
      <c r="G11" s="181">
        <f>'Сводные данные'!G9*'Сводные данные с индексацией'!G$5</f>
        <v>0</v>
      </c>
      <c r="H11" s="100">
        <f>'Сводные данные'!H9*'Сводные данные с индексацией'!H$5</f>
        <v>0</v>
      </c>
      <c r="I11" s="100">
        <f>'Сводные данные'!I9*'Сводные данные с индексацией'!I$5</f>
        <v>0</v>
      </c>
      <c r="J11" s="100">
        <f>'Сводные данные'!J9*'Сводные данные с индексацией'!J$5</f>
        <v>0</v>
      </c>
      <c r="K11" s="100">
        <f>'Сводные данные'!K9*'Сводные данные с индексацией'!K$5</f>
        <v>0</v>
      </c>
      <c r="L11" s="100">
        <f>'Сводные данные'!L9*'Сводные данные с индексацией'!L$5</f>
        <v>0</v>
      </c>
      <c r="M11" s="100">
        <f>'Сводные данные'!M9*'Сводные данные с индексацией'!M$5</f>
        <v>0</v>
      </c>
      <c r="N11" s="100">
        <f>'Сводные данные'!N9*'Сводные данные с индексацией'!N$5</f>
        <v>0</v>
      </c>
      <c r="O11" s="100">
        <f>'Сводные данные'!O9*'Сводные данные с индексацией'!O$5</f>
        <v>0</v>
      </c>
      <c r="P11" s="100">
        <f>'Сводные данные'!P9*'Сводные данные с индексацией'!P$5</f>
        <v>0</v>
      </c>
      <c r="Q11" s="100">
        <f>'Сводные данные'!Q9*'Сводные данные с индексацией'!Q$5</f>
        <v>0</v>
      </c>
      <c r="R11" s="100">
        <f>'Сводные данные'!R9*'Сводные данные с индексацией'!R$5</f>
        <v>0</v>
      </c>
      <c r="S11" s="100">
        <f>'Сводные данные'!S9*'Сводные данные с индексацией'!S$5</f>
        <v>0</v>
      </c>
      <c r="T11" s="100">
        <f>'Сводные данные'!T9*'Сводные данные с индексацией'!T$5</f>
        <v>0</v>
      </c>
      <c r="U11" s="100">
        <f>'Сводные данные'!U9*'Сводные данные с индексацией'!U$5</f>
        <v>0</v>
      </c>
      <c r="V11" s="100">
        <f>'Сводные данные'!V9*'Сводные данные с индексацией'!V$5</f>
        <v>0</v>
      </c>
      <c r="W11" s="100">
        <f>'Сводные данные'!W9*'Сводные данные с индексацией'!W$5</f>
        <v>0</v>
      </c>
      <c r="X11" s="100">
        <f>'Сводные данные'!X9*'Сводные данные с индексацией'!X$5</f>
        <v>0</v>
      </c>
      <c r="Y11" s="100">
        <f>'Сводные данные'!Y9*'Сводные данные с индексацией'!Y$5</f>
        <v>0</v>
      </c>
      <c r="Z11" s="100">
        <f>'Сводные данные'!Z9*'Сводные данные с индексацией'!Z$5</f>
        <v>0</v>
      </c>
      <c r="AA11" s="100">
        <f>'Сводные данные'!AA9*'Сводные данные с индексацией'!AA$5</f>
        <v>0</v>
      </c>
      <c r="AB11" s="34">
        <f t="shared" si="0"/>
        <v>2332215.5999999992</v>
      </c>
    </row>
    <row r="12" spans="1:28" x14ac:dyDescent="0.25">
      <c r="A12" s="5"/>
      <c r="B12" s="20" t="s">
        <v>57</v>
      </c>
      <c r="C12" s="101">
        <f t="shared" ref="C12:AA12" si="1">SUM(C8:C11)</f>
        <v>1310789.7217005615</v>
      </c>
      <c r="D12" s="101">
        <f t="shared" si="1"/>
        <v>17775182.024384446</v>
      </c>
      <c r="E12" s="101">
        <f t="shared" si="1"/>
        <v>15447786.677584015</v>
      </c>
      <c r="F12" s="101">
        <f t="shared" si="1"/>
        <v>5236013.1199999973</v>
      </c>
      <c r="G12" s="182">
        <f t="shared" si="1"/>
        <v>0</v>
      </c>
      <c r="H12" s="101">
        <f t="shared" si="1"/>
        <v>0</v>
      </c>
      <c r="I12" s="101">
        <f t="shared" si="1"/>
        <v>0</v>
      </c>
      <c r="J12" s="101">
        <f t="shared" si="1"/>
        <v>0</v>
      </c>
      <c r="K12" s="101">
        <f t="shared" si="1"/>
        <v>0</v>
      </c>
      <c r="L12" s="101">
        <f t="shared" si="1"/>
        <v>0</v>
      </c>
      <c r="M12" s="101">
        <f t="shared" si="1"/>
        <v>0</v>
      </c>
      <c r="N12" s="101">
        <f t="shared" si="1"/>
        <v>0</v>
      </c>
      <c r="O12" s="101">
        <f t="shared" si="1"/>
        <v>0</v>
      </c>
      <c r="P12" s="101">
        <f t="shared" si="1"/>
        <v>0</v>
      </c>
      <c r="Q12" s="101">
        <f t="shared" si="1"/>
        <v>0</v>
      </c>
      <c r="R12" s="101">
        <f t="shared" si="1"/>
        <v>0</v>
      </c>
      <c r="S12" s="101">
        <f t="shared" si="1"/>
        <v>0</v>
      </c>
      <c r="T12" s="101">
        <f t="shared" si="1"/>
        <v>0</v>
      </c>
      <c r="U12" s="101">
        <f t="shared" si="1"/>
        <v>0</v>
      </c>
      <c r="V12" s="101">
        <f t="shared" si="1"/>
        <v>0</v>
      </c>
      <c r="W12" s="101">
        <f t="shared" si="1"/>
        <v>0</v>
      </c>
      <c r="X12" s="101">
        <f t="shared" si="1"/>
        <v>0</v>
      </c>
      <c r="Y12" s="101">
        <f t="shared" si="1"/>
        <v>0</v>
      </c>
      <c r="Z12" s="101">
        <f t="shared" si="1"/>
        <v>0</v>
      </c>
      <c r="AA12" s="101">
        <f t="shared" si="1"/>
        <v>0</v>
      </c>
      <c r="AB12" s="34">
        <f t="shared" si="0"/>
        <v>39769771.543669023</v>
      </c>
    </row>
    <row r="13" spans="1:28" x14ac:dyDescent="0.25">
      <c r="A13" s="5"/>
      <c r="C13" s="102"/>
      <c r="D13" s="102"/>
      <c r="E13" s="102"/>
      <c r="F13" s="102"/>
      <c r="G13" s="183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</row>
    <row r="14" spans="1:28" ht="18.75" x14ac:dyDescent="0.3">
      <c r="A14" s="5"/>
      <c r="B14" s="16" t="s">
        <v>248</v>
      </c>
      <c r="C14" s="102"/>
      <c r="D14" s="102"/>
      <c r="E14" s="102"/>
      <c r="F14" s="102"/>
      <c r="G14" s="183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27"/>
    </row>
    <row r="15" spans="1:28" x14ac:dyDescent="0.25">
      <c r="A15" s="5"/>
      <c r="B15" s="18" t="s">
        <v>64</v>
      </c>
      <c r="C15" s="100">
        <f>'Сводные данные'!C13*'Сводные данные с индексацией'!C$5</f>
        <v>0</v>
      </c>
      <c r="D15" s="100">
        <f>'Сводные данные'!D13*'Сводные данные с индексацией'!D$5</f>
        <v>0</v>
      </c>
      <c r="E15" s="100">
        <f>'Сводные данные'!E13*'Сводные данные с индексацией'!E$5</f>
        <v>0</v>
      </c>
      <c r="F15" s="100">
        <f>'Сводные данные'!F13*'Сводные данные с индексацией'!F$5</f>
        <v>0</v>
      </c>
      <c r="G15" s="181">
        <f>'Сводные данные'!G13*'Сводные данные с индексацией'!G$5</f>
        <v>18904.455770596691</v>
      </c>
      <c r="H15" s="100">
        <f>'Сводные данные'!H13*'Сводные данные с индексацией'!H$5</f>
        <v>19090.729058891382</v>
      </c>
      <c r="I15" s="100">
        <f>'Сводные данные'!I13*'Сводные данные с индексацией'!I$5</f>
        <v>19278.837773624848</v>
      </c>
      <c r="J15" s="100">
        <f>'Сводные данные'!J13*'Сводные данные с индексацией'!J$5</f>
        <v>19468.799999999988</v>
      </c>
      <c r="K15" s="100">
        <f>'Сводные данные'!K13*'Сводные данные с индексацией'!K$5</f>
        <v>19660.634001420556</v>
      </c>
      <c r="L15" s="100">
        <f>'Сводные данные'!L13*'Сводные данные с индексацией'!L$5</f>
        <v>19854.358221247032</v>
      </c>
      <c r="M15" s="100">
        <f>'Сводные данные'!M13*'Сводные данные с индексацией'!M$5</f>
        <v>20049.991284569842</v>
      </c>
      <c r="N15" s="100">
        <f>'Сводные данные'!N13*'Сводные данные с индексацией'!N$5</f>
        <v>20247.551999999989</v>
      </c>
      <c r="O15" s="100">
        <f>'Сводные данные'!O13*'Сводные данные с индексацией'!O$5</f>
        <v>0</v>
      </c>
      <c r="P15" s="100">
        <f>'Сводные данные'!P13*'Сводные данные с индексацией'!P$5</f>
        <v>0</v>
      </c>
      <c r="Q15" s="100">
        <f>'Сводные данные'!Q13*'Сводные данные с индексацией'!Q$5</f>
        <v>0</v>
      </c>
      <c r="R15" s="100">
        <f>'Сводные данные'!R13*'Сводные данные с индексацией'!R$5</f>
        <v>0</v>
      </c>
      <c r="S15" s="100">
        <f>'Сводные данные'!S13*'Сводные данные с индексацией'!S$5</f>
        <v>0</v>
      </c>
      <c r="T15" s="100">
        <f>'Сводные данные'!T13*'Сводные данные с индексацией'!T$5</f>
        <v>0</v>
      </c>
      <c r="U15" s="100">
        <f>'Сводные данные'!U13*'Сводные данные с индексацией'!U$5</f>
        <v>0</v>
      </c>
      <c r="V15" s="100">
        <f>'Сводные данные'!V13*'Сводные данные с индексацией'!V$5</f>
        <v>0</v>
      </c>
      <c r="W15" s="100">
        <f>'Сводные данные'!W13*'Сводные данные с индексацией'!W$5</f>
        <v>0</v>
      </c>
      <c r="X15" s="100">
        <f>'Сводные данные'!X13*'Сводные данные с индексацией'!X$5</f>
        <v>0</v>
      </c>
      <c r="Y15" s="100">
        <f>'Сводные данные'!Y13*'Сводные данные с индексацией'!Y$5</f>
        <v>0</v>
      </c>
      <c r="Z15" s="100">
        <f>'Сводные данные'!Z13*'Сводные данные с индексацией'!Z$5</f>
        <v>0</v>
      </c>
      <c r="AA15" s="100">
        <f>'Сводные данные'!AA13*'Сводные данные с индексацией'!AA$5</f>
        <v>0</v>
      </c>
      <c r="AB15" s="34">
        <f t="shared" ref="AB15" si="2">SUM(C15:AA15)</f>
        <v>156555.35811035035</v>
      </c>
    </row>
    <row r="16" spans="1:28" ht="18.75" x14ac:dyDescent="0.3">
      <c r="A16" s="31"/>
      <c r="C16" s="102"/>
      <c r="D16" s="102"/>
      <c r="E16" s="102"/>
      <c r="F16" s="102"/>
      <c r="G16" s="183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</row>
    <row r="17" spans="1:28" ht="18.75" x14ac:dyDescent="0.3">
      <c r="A17" s="5"/>
      <c r="B17" s="24" t="s">
        <v>221</v>
      </c>
      <c r="C17" s="102"/>
      <c r="D17" s="102"/>
      <c r="E17" s="102"/>
      <c r="F17" s="102"/>
      <c r="G17" s="183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27"/>
    </row>
    <row r="18" spans="1:28" x14ac:dyDescent="0.25">
      <c r="A18" s="5"/>
      <c r="B18" s="18" t="s">
        <v>22</v>
      </c>
      <c r="C18" s="100">
        <f>'Заемные средства'!C6</f>
        <v>4000000</v>
      </c>
      <c r="D18" s="100">
        <f>'Заемные средства'!D6</f>
        <v>19500000</v>
      </c>
      <c r="E18" s="100">
        <f>'Заемные средства'!E6</f>
        <v>17000000</v>
      </c>
      <c r="F18" s="100">
        <f>'Заемные средства'!F6</f>
        <v>6903389</v>
      </c>
      <c r="G18" s="181">
        <f>'Заемные средства'!G6</f>
        <v>0</v>
      </c>
      <c r="H18" s="100">
        <f>'Заемные средства'!H6</f>
        <v>0</v>
      </c>
      <c r="I18" s="100">
        <f>'Заемные средства'!I6</f>
        <v>0</v>
      </c>
      <c r="J18" s="100">
        <f>'Заемные средства'!J6</f>
        <v>0</v>
      </c>
      <c r="K18" s="100">
        <f>'Заемные средства'!K6</f>
        <v>0</v>
      </c>
      <c r="L18" s="100">
        <f>'Заемные средства'!L6</f>
        <v>0</v>
      </c>
      <c r="M18" s="100">
        <f>'Заемные средства'!M6</f>
        <v>0</v>
      </c>
      <c r="N18" s="100">
        <f>'Заемные средства'!N6</f>
        <v>0</v>
      </c>
      <c r="O18" s="100">
        <f>'Заемные средства'!O6</f>
        <v>0</v>
      </c>
      <c r="P18" s="100">
        <f>'Заемные средства'!P6</f>
        <v>0</v>
      </c>
      <c r="Q18" s="100">
        <f>'Заемные средства'!Q6</f>
        <v>0</v>
      </c>
      <c r="R18" s="100">
        <f>'Заемные средства'!R6</f>
        <v>0</v>
      </c>
      <c r="S18" s="100">
        <f>'Заемные средства'!S6</f>
        <v>0</v>
      </c>
      <c r="T18" s="100">
        <f>'Заемные средства'!T6</f>
        <v>0</v>
      </c>
      <c r="U18" s="100">
        <f>'Заемные средства'!U6</f>
        <v>0</v>
      </c>
      <c r="V18" s="100">
        <f>'Заемные средства'!V6</f>
        <v>0</v>
      </c>
      <c r="W18" s="100">
        <f>'Заемные средства'!W6</f>
        <v>0</v>
      </c>
      <c r="X18" s="100">
        <f>'Заемные средства'!X6</f>
        <v>0</v>
      </c>
      <c r="Y18" s="100">
        <f>'Заемные средства'!Y6</f>
        <v>0</v>
      </c>
      <c r="Z18" s="100">
        <f>'Заемные средства'!Z6</f>
        <v>0</v>
      </c>
      <c r="AA18" s="100">
        <f>'Заемные средства'!AA6</f>
        <v>0</v>
      </c>
    </row>
    <row r="19" spans="1:28" ht="18.75" x14ac:dyDescent="0.3">
      <c r="A19" s="32"/>
      <c r="B19" s="18" t="s">
        <v>23</v>
      </c>
      <c r="C19" s="104">
        <f>'Заемные средства'!C8</f>
        <v>82500</v>
      </c>
      <c r="D19" s="104">
        <f>'Заемные средства'!D8</f>
        <v>484687.5</v>
      </c>
      <c r="E19" s="104">
        <f>'Заемные средства'!E8</f>
        <v>835312.5</v>
      </c>
      <c r="F19" s="104">
        <f>'Заемные средства'!F8</f>
        <v>977694.89812500007</v>
      </c>
      <c r="G19" s="184">
        <f>'Заемные средства'!G8</f>
        <v>575507.39812500007</v>
      </c>
      <c r="H19" s="104">
        <f>'Заемные средства'!H8</f>
        <v>70194.898125000007</v>
      </c>
      <c r="I19" s="104">
        <f>'Заемные средства'!I8</f>
        <v>0</v>
      </c>
      <c r="J19" s="104">
        <f>'Заемные средства'!J8</f>
        <v>0</v>
      </c>
      <c r="K19" s="104">
        <f>'Заемные средства'!K8</f>
        <v>0</v>
      </c>
      <c r="L19" s="104">
        <f>'Заемные средства'!L8</f>
        <v>0</v>
      </c>
      <c r="M19" s="104">
        <f>'Заемные средства'!M8</f>
        <v>0</v>
      </c>
      <c r="N19" s="104">
        <f>'Заемные средства'!N8</f>
        <v>0</v>
      </c>
      <c r="O19" s="104">
        <f>'Заемные средства'!O8</f>
        <v>0</v>
      </c>
      <c r="P19" s="104">
        <f>'Заемные средства'!P8</f>
        <v>0</v>
      </c>
      <c r="Q19" s="104">
        <f>'Заемные средства'!Q8</f>
        <v>0</v>
      </c>
      <c r="R19" s="104">
        <f>'Заемные средства'!R8</f>
        <v>0</v>
      </c>
      <c r="S19" s="104">
        <f>'Заемные средства'!S8</f>
        <v>0</v>
      </c>
      <c r="T19" s="104">
        <f>'Заемные средства'!T8</f>
        <v>0</v>
      </c>
      <c r="U19" s="104">
        <f>'Заемные средства'!U8</f>
        <v>0</v>
      </c>
      <c r="V19" s="104">
        <f>'Заемные средства'!V8</f>
        <v>0</v>
      </c>
      <c r="W19" s="104">
        <f>'Заемные средства'!W8</f>
        <v>0</v>
      </c>
      <c r="X19" s="104">
        <f>'Заемные средства'!X8</f>
        <v>0</v>
      </c>
      <c r="Y19" s="104">
        <f>'Заемные средства'!Y8</f>
        <v>0</v>
      </c>
      <c r="Z19" s="104">
        <f>'Заемные средства'!Z8</f>
        <v>0</v>
      </c>
      <c r="AA19" s="104">
        <f>'Заемные средства'!AA8</f>
        <v>0</v>
      </c>
      <c r="AB19" s="34">
        <f t="shared" ref="AB19" si="3">SUM(C19:AA19)</f>
        <v>3025897.1943750004</v>
      </c>
    </row>
    <row r="20" spans="1:28" x14ac:dyDescent="0.25">
      <c r="A20" s="5"/>
      <c r="B20" s="18" t="s">
        <v>24</v>
      </c>
      <c r="C20" s="100">
        <f>'Заемные средства'!C9</f>
        <v>0</v>
      </c>
      <c r="D20" s="100">
        <f>'Заемные средства'!D9</f>
        <v>0</v>
      </c>
      <c r="E20" s="100">
        <f>'Заемные средства'!E9</f>
        <v>0</v>
      </c>
      <c r="F20" s="100">
        <f>'Заемные средства'!F9</f>
        <v>0</v>
      </c>
      <c r="G20" s="181">
        <f>'Заемные средства'!G9</f>
        <v>19500000</v>
      </c>
      <c r="H20" s="100">
        <f>'Заемные средства'!H9</f>
        <v>24500000</v>
      </c>
      <c r="I20" s="100">
        <f>'Заемные средства'!I9</f>
        <v>3403389</v>
      </c>
      <c r="J20" s="100">
        <f>'Заемные средства'!J9</f>
        <v>0</v>
      </c>
      <c r="K20" s="100">
        <f>'Заемные средства'!K9</f>
        <v>0</v>
      </c>
      <c r="L20" s="100">
        <f>'Заемные средства'!L9</f>
        <v>0</v>
      </c>
      <c r="M20" s="100">
        <f>'Заемные средства'!M9</f>
        <v>0</v>
      </c>
      <c r="N20" s="100">
        <f>'Заемные средства'!N9</f>
        <v>0</v>
      </c>
      <c r="O20" s="100">
        <f>'Заемные средства'!O9</f>
        <v>0</v>
      </c>
      <c r="P20" s="100">
        <f>'Заемные средства'!P9</f>
        <v>0</v>
      </c>
      <c r="Q20" s="100">
        <f>'Заемные средства'!Q9</f>
        <v>0</v>
      </c>
      <c r="R20" s="100">
        <f>'Заемные средства'!R9</f>
        <v>0</v>
      </c>
      <c r="S20" s="100">
        <f>'Заемные средства'!S9</f>
        <v>0</v>
      </c>
      <c r="T20" s="100">
        <f>'Заемные средства'!T9</f>
        <v>0</v>
      </c>
      <c r="U20" s="100">
        <f>'Заемные средства'!U9</f>
        <v>0</v>
      </c>
      <c r="V20" s="100">
        <f>'Заемные средства'!V9</f>
        <v>0</v>
      </c>
      <c r="W20" s="100">
        <f>'Заемные средства'!W9</f>
        <v>0</v>
      </c>
      <c r="X20" s="100">
        <f>'Заемные средства'!X9</f>
        <v>0</v>
      </c>
      <c r="Y20" s="100">
        <f>'Заемные средства'!Y9</f>
        <v>0</v>
      </c>
      <c r="Z20" s="100">
        <f>'Заемные средства'!Z9</f>
        <v>0</v>
      </c>
      <c r="AA20" s="100">
        <f>'Заемные средства'!AA9</f>
        <v>0</v>
      </c>
    </row>
    <row r="21" spans="1:28" x14ac:dyDescent="0.25">
      <c r="A21" s="5"/>
      <c r="C21" s="102"/>
      <c r="D21" s="102"/>
      <c r="E21" s="102"/>
      <c r="F21" s="102"/>
      <c r="G21" s="183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27"/>
    </row>
    <row r="22" spans="1:28" ht="18.75" x14ac:dyDescent="0.3">
      <c r="A22" s="5"/>
      <c r="B22" s="16" t="s">
        <v>62</v>
      </c>
      <c r="C22" s="102"/>
      <c r="D22" s="102"/>
      <c r="E22" s="102"/>
      <c r="F22" s="102"/>
      <c r="G22" s="183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</row>
    <row r="23" spans="1:28" ht="18.75" x14ac:dyDescent="0.3">
      <c r="A23" s="31"/>
      <c r="B23" s="18" t="s">
        <v>444</v>
      </c>
      <c r="C23" s="100">
        <f>'Сводные данные'!C16*'Сводные данные с индексацией'!C$5</f>
        <v>0</v>
      </c>
      <c r="D23" s="100">
        <f>'Сводные данные'!D16*'Сводные данные с индексацией'!D$5</f>
        <v>1216721.0469137721</v>
      </c>
      <c r="E23" s="100">
        <f>'Сводные данные'!E16*'Сводные данные с индексацией'!E$5</f>
        <v>0</v>
      </c>
      <c r="F23" s="100">
        <f>'Сводные данные'!F16*'Сводные данные с индексацией'!F$5</f>
        <v>0</v>
      </c>
      <c r="G23" s="181">
        <f>'Сводные данные'!G16*'Сводные данные с индексацией'!G$5</f>
        <v>0</v>
      </c>
      <c r="H23" s="100">
        <f>'Сводные данные'!H16*'Сводные данные с индексацией'!H$5</f>
        <v>0</v>
      </c>
      <c r="I23" s="100">
        <f>'Сводные данные'!I16*'Сводные данные с индексацией'!I$5</f>
        <v>0</v>
      </c>
      <c r="J23" s="100">
        <f>'Сводные данные'!J16*'Сводные данные с индексацией'!J$5</f>
        <v>0</v>
      </c>
      <c r="K23" s="100">
        <f>'Сводные данные'!K16*'Сводные данные с индексацией'!K$5</f>
        <v>0</v>
      </c>
      <c r="L23" s="100">
        <f>'Сводные данные'!L16*'Сводные данные с индексацией'!L$5</f>
        <v>0</v>
      </c>
      <c r="M23" s="100">
        <f>'Сводные данные'!M16*'Сводные данные с индексацией'!M$5</f>
        <v>0</v>
      </c>
      <c r="N23" s="100">
        <f>'Сводные данные'!N16*'Сводные данные с индексацией'!N$5</f>
        <v>0</v>
      </c>
      <c r="O23" s="100">
        <f>'Сводные данные'!O16*'Сводные данные с индексацией'!O$5</f>
        <v>0</v>
      </c>
      <c r="P23" s="100">
        <f>'Сводные данные'!P16*'Сводные данные с индексацией'!P$5</f>
        <v>0</v>
      </c>
      <c r="Q23" s="100">
        <f>'Сводные данные'!Q16*'Сводные данные с индексацией'!Q$5</f>
        <v>0</v>
      </c>
      <c r="R23" s="100">
        <f>'Сводные данные'!R16*'Сводные данные с индексацией'!R$5</f>
        <v>0</v>
      </c>
      <c r="S23" s="100">
        <f>'Сводные данные'!S16*'Сводные данные с индексацией'!S$5</f>
        <v>0</v>
      </c>
      <c r="T23" s="100">
        <f>'Сводные данные'!T16*'Сводные данные с индексацией'!T$5</f>
        <v>0</v>
      </c>
      <c r="U23" s="100">
        <f>'Сводные данные'!U16*'Сводные данные с индексацией'!U$5</f>
        <v>0</v>
      </c>
      <c r="V23" s="100">
        <f>'Сводные данные'!V16*'Сводные данные с индексацией'!V$5</f>
        <v>0</v>
      </c>
      <c r="W23" s="100">
        <f>'Сводные данные'!W16*'Сводные данные с индексацией'!W$5</f>
        <v>0</v>
      </c>
      <c r="X23" s="100">
        <f>'Сводные данные'!X16*'Сводные данные с индексацией'!X$5</f>
        <v>0</v>
      </c>
      <c r="Y23" s="100">
        <f>'Сводные данные'!Y16*'Сводные данные с индексацией'!Y$5</f>
        <v>0</v>
      </c>
      <c r="Z23" s="100">
        <f>'Сводные данные'!Z16*'Сводные данные с индексацией'!Z$5</f>
        <v>0</v>
      </c>
      <c r="AA23" s="100">
        <f>'Сводные данные'!AA16*'Сводные данные с индексацией'!AA$5</f>
        <v>0</v>
      </c>
      <c r="AB23" s="34">
        <f t="shared" ref="AB23:AB27" si="4">SUM(C23:AA23)</f>
        <v>1216721.0469137721</v>
      </c>
    </row>
    <row r="24" spans="1:28" x14ac:dyDescent="0.25">
      <c r="A24" s="5"/>
      <c r="B24" s="18" t="s">
        <v>63</v>
      </c>
      <c r="C24" s="100">
        <f>'Сводные данные'!C17*'Сводные данные с индексацией'!C$5</f>
        <v>10360.380217590529</v>
      </c>
      <c r="D24" s="100">
        <f>'Сводные данные'!D17*'Сводные данные с индексацией'!D$5</f>
        <v>10462.465255876341</v>
      </c>
      <c r="E24" s="100">
        <f>'Сводные данные'!E17*'Сводные данные с индексацией'!E$5</f>
        <v>10565.556179546951</v>
      </c>
      <c r="F24" s="100">
        <f>'Сводные данные'!F17*'Сводные данные с индексацией'!F$5</f>
        <v>10669.662899999996</v>
      </c>
      <c r="G24" s="181">
        <f>'Сводные данные'!G17*'Сводные данные с индексацией'!G$5</f>
        <v>10774.795426294146</v>
      </c>
      <c r="H24" s="100">
        <f>'Сводные данные'!H17*'Сводные данные с индексацией'!H$5</f>
        <v>10880.963866111393</v>
      </c>
      <c r="I24" s="100">
        <f>'Сводные данные'!I17*'Сводные данные с индексацией'!I$5</f>
        <v>10988.178426728828</v>
      </c>
      <c r="J24" s="100">
        <f>'Сводные данные'!J17*'Сводные данные с индексацией'!J$5</f>
        <v>11096.449415999994</v>
      </c>
      <c r="K24" s="100">
        <f>'Сводные данные'!K17*'Сводные данные с индексацией'!K$5</f>
        <v>11205.787243345911</v>
      </c>
      <c r="L24" s="100">
        <f>'Сводные данные'!L17*'Сводные данные с индексацией'!L$5</f>
        <v>11316.202420755848</v>
      </c>
      <c r="M24" s="100">
        <f>'Сводные данные'!M17*'Сводные данные с индексацией'!M$5</f>
        <v>11427.705563797981</v>
      </c>
      <c r="N24" s="100">
        <f>'Сводные данные'!N17*'Сводные данные с индексацией'!N$5</f>
        <v>11540.307392639994</v>
      </c>
      <c r="O24" s="100">
        <f>'Сводные данные'!O17*'Сводные данные с индексацией'!O$5</f>
        <v>0</v>
      </c>
      <c r="P24" s="100">
        <f>'Сводные данные'!P17*'Сводные данные с индексацией'!P$5</f>
        <v>0</v>
      </c>
      <c r="Q24" s="100">
        <f>'Сводные данные'!Q17*'Сводные данные с индексацией'!Q$5</f>
        <v>0</v>
      </c>
      <c r="R24" s="100">
        <f>'Сводные данные'!R17*'Сводные данные с индексацией'!R$5</f>
        <v>0</v>
      </c>
      <c r="S24" s="100">
        <f>'Сводные данные'!S17*'Сводные данные с индексацией'!S$5</f>
        <v>0</v>
      </c>
      <c r="T24" s="100">
        <f>'Сводные данные'!T17*'Сводные данные с индексацией'!T$5</f>
        <v>0</v>
      </c>
      <c r="U24" s="100">
        <f>'Сводные данные'!U17*'Сводные данные с индексацией'!U$5</f>
        <v>0</v>
      </c>
      <c r="V24" s="100">
        <f>'Сводные данные'!V17*'Сводные данные с индексацией'!V$5</f>
        <v>0</v>
      </c>
      <c r="W24" s="100">
        <f>'Сводные данные'!W17*'Сводные данные с индексацией'!W$5</f>
        <v>0</v>
      </c>
      <c r="X24" s="100">
        <f>'Сводные данные'!X17*'Сводные данные с индексацией'!X$5</f>
        <v>0</v>
      </c>
      <c r="Y24" s="100">
        <f>'Сводные данные'!Y17*'Сводные данные с индексацией'!Y$5</f>
        <v>0</v>
      </c>
      <c r="Z24" s="100">
        <f>'Сводные данные'!Z17*'Сводные данные с индексацией'!Z$5</f>
        <v>0</v>
      </c>
      <c r="AA24" s="100">
        <f>'Сводные данные'!AA17*'Сводные данные с индексацией'!AA$5</f>
        <v>0</v>
      </c>
      <c r="AB24" s="34">
        <f>SUM(C24:AA24)</f>
        <v>131288.45430868788</v>
      </c>
    </row>
    <row r="25" spans="1:28" x14ac:dyDescent="0.25">
      <c r="A25" s="5"/>
      <c r="B25" s="18" t="s">
        <v>49</v>
      </c>
      <c r="C25" s="100">
        <f>'Сводные данные'!C18*'Сводные данные с индексацией'!C$5</f>
        <v>499877.43624173955</v>
      </c>
      <c r="D25" s="100">
        <f>'Сводные данные'!D18*'Сводные данные с индексацией'!D$5</f>
        <v>504802.93184568564</v>
      </c>
      <c r="E25" s="100">
        <f>'Сводные данные'!E18*'Сводные данные с индексацией'!E$5</f>
        <v>509776.9603602725</v>
      </c>
      <c r="F25" s="100">
        <f>'Сводные данные'!F18*'Сводные данные с индексацией'!F$5</f>
        <v>514799.99999999983</v>
      </c>
      <c r="G25" s="181"/>
      <c r="H25" s="100">
        <f>'Сводные данные'!H18*'Сводные данные с индексацией'!H$5</f>
        <v>0</v>
      </c>
      <c r="I25" s="100">
        <f>'Сводные данные'!I18*'Сводные данные с индексацией'!I$5</f>
        <v>0</v>
      </c>
      <c r="J25" s="100">
        <f>'Сводные данные'!J18*'Сводные данные с индексацией'!J$5</f>
        <v>0</v>
      </c>
      <c r="K25" s="100">
        <f>'Сводные данные'!K18*'Сводные данные с индексацией'!K$5</f>
        <v>0</v>
      </c>
      <c r="L25" s="100">
        <f>'Сводные данные'!L18*'Сводные данные с индексацией'!L$5</f>
        <v>0</v>
      </c>
      <c r="M25" s="100">
        <f>'Сводные данные'!M18*'Сводные данные с индексацией'!M$5</f>
        <v>0</v>
      </c>
      <c r="N25" s="100">
        <f>'Сводные данные'!N18*'Сводные данные с индексацией'!N$5</f>
        <v>0</v>
      </c>
      <c r="O25" s="100">
        <f>'Сводные данные'!O18*'Сводные данные с индексацией'!O$5</f>
        <v>0</v>
      </c>
      <c r="P25" s="100">
        <f>'Сводные данные'!P18*'Сводные данные с индексацией'!P$5</f>
        <v>0</v>
      </c>
      <c r="Q25" s="100">
        <f>'Сводные данные'!Q18*'Сводные данные с индексацией'!Q$5</f>
        <v>0</v>
      </c>
      <c r="R25" s="100">
        <f>'Сводные данные'!R18*'Сводные данные с индексацией'!R$5</f>
        <v>0</v>
      </c>
      <c r="S25" s="100">
        <f>'Сводные данные'!S18*'Сводные данные с индексацией'!S$5</f>
        <v>0</v>
      </c>
      <c r="T25" s="100">
        <f>'Сводные данные'!T18*'Сводные данные с индексацией'!T$5</f>
        <v>0</v>
      </c>
      <c r="U25" s="100">
        <f>'Сводные данные'!U18*'Сводные данные с индексацией'!U$5</f>
        <v>0</v>
      </c>
      <c r="V25" s="100">
        <f>'Сводные данные'!V18*'Сводные данные с индексацией'!V$5</f>
        <v>0</v>
      </c>
      <c r="W25" s="100">
        <f>'Сводные данные'!W18*'Сводные данные с индексацией'!W$5</f>
        <v>0</v>
      </c>
      <c r="X25" s="100">
        <f>'Сводные данные'!X18*'Сводные данные с индексацией'!X$5</f>
        <v>0</v>
      </c>
      <c r="Y25" s="100">
        <f>'Сводные данные'!Y18*'Сводные данные с индексацией'!Y$5</f>
        <v>0</v>
      </c>
      <c r="Z25" s="100">
        <f>'Сводные данные'!Z18*'Сводные данные с индексацией'!Z$5</f>
        <v>0</v>
      </c>
      <c r="AA25" s="100">
        <f>'Сводные данные'!AA18*'Сводные данные с индексацией'!AA$5</f>
        <v>0</v>
      </c>
      <c r="AB25" s="34">
        <f t="shared" si="4"/>
        <v>2029257.3284476975</v>
      </c>
    </row>
    <row r="26" spans="1:28" x14ac:dyDescent="0.25">
      <c r="A26" s="5"/>
      <c r="B26" s="18" t="s">
        <v>50</v>
      </c>
      <c r="C26" s="105">
        <f>C25*Параметры!$C27</f>
        <v>149963.23087252188</v>
      </c>
      <c r="D26" s="105">
        <f>D25*Параметры!$C27</f>
        <v>151440.87955370572</v>
      </c>
      <c r="E26" s="105">
        <f>E25*Параметры!$C27</f>
        <v>152933.08810808178</v>
      </c>
      <c r="F26" s="105">
        <f>F25*Параметры!$C27</f>
        <v>154439.99999999997</v>
      </c>
      <c r="G26" s="185"/>
      <c r="H26" s="105">
        <f>H25*Параметры!$C27</f>
        <v>0</v>
      </c>
      <c r="I26" s="105">
        <f>I25*Параметры!$C27</f>
        <v>0</v>
      </c>
      <c r="J26" s="105">
        <f>J25*Параметры!$C27</f>
        <v>0</v>
      </c>
      <c r="K26" s="105">
        <f>K25*Параметры!$C27</f>
        <v>0</v>
      </c>
      <c r="L26" s="105">
        <f>L25*Параметры!$C27</f>
        <v>0</v>
      </c>
      <c r="M26" s="105">
        <f>M25*Параметры!$C27</f>
        <v>0</v>
      </c>
      <c r="N26" s="105">
        <f>N25*Параметры!$C27</f>
        <v>0</v>
      </c>
      <c r="O26" s="105">
        <f>O25*Параметры!$C27</f>
        <v>0</v>
      </c>
      <c r="P26" s="105">
        <f>P25*Параметры!$C27</f>
        <v>0</v>
      </c>
      <c r="Q26" s="105">
        <f>Q25*Параметры!$C27</f>
        <v>0</v>
      </c>
      <c r="R26" s="105">
        <f>R25*Параметры!$C27</f>
        <v>0</v>
      </c>
      <c r="S26" s="105">
        <f>S25*Параметры!$C27</f>
        <v>0</v>
      </c>
      <c r="T26" s="105">
        <f>T25*Параметры!$C27</f>
        <v>0</v>
      </c>
      <c r="U26" s="105">
        <f>U25*Параметры!$C27</f>
        <v>0</v>
      </c>
      <c r="V26" s="105">
        <f>V25*Параметры!$C27</f>
        <v>0</v>
      </c>
      <c r="W26" s="105">
        <f>W25*Параметры!$C27</f>
        <v>0</v>
      </c>
      <c r="X26" s="105">
        <f>X25*Параметры!$C27</f>
        <v>0</v>
      </c>
      <c r="Y26" s="105">
        <f>Y25*Параметры!$C27</f>
        <v>0</v>
      </c>
      <c r="Z26" s="105">
        <f>Z25*Параметры!$C27</f>
        <v>0</v>
      </c>
      <c r="AA26" s="105">
        <f>AA25*Параметры!$C27</f>
        <v>0</v>
      </c>
      <c r="AB26" s="34">
        <f t="shared" si="4"/>
        <v>608777.19853430928</v>
      </c>
    </row>
    <row r="27" spans="1:28" x14ac:dyDescent="0.25">
      <c r="A27" s="5"/>
      <c r="B27" s="20" t="s">
        <v>57</v>
      </c>
      <c r="C27" s="106">
        <f t="shared" ref="C27:AA27" si="5">SUM(C23:C26)</f>
        <v>660201.04733185191</v>
      </c>
      <c r="D27" s="106">
        <f t="shared" si="5"/>
        <v>1883427.3235690398</v>
      </c>
      <c r="E27" s="106">
        <f t="shared" si="5"/>
        <v>673275.60464790114</v>
      </c>
      <c r="F27" s="106">
        <f t="shared" si="5"/>
        <v>679909.66289999988</v>
      </c>
      <c r="G27" s="186">
        <f t="shared" si="5"/>
        <v>10774.795426294146</v>
      </c>
      <c r="H27" s="106">
        <f t="shared" si="5"/>
        <v>10880.963866111393</v>
      </c>
      <c r="I27" s="106">
        <f t="shared" si="5"/>
        <v>10988.178426728828</v>
      </c>
      <c r="J27" s="106">
        <f t="shared" si="5"/>
        <v>11096.449415999994</v>
      </c>
      <c r="K27" s="106">
        <f t="shared" si="5"/>
        <v>11205.787243345911</v>
      </c>
      <c r="L27" s="106">
        <f t="shared" si="5"/>
        <v>11316.202420755848</v>
      </c>
      <c r="M27" s="106">
        <f t="shared" si="5"/>
        <v>11427.705563797981</v>
      </c>
      <c r="N27" s="106">
        <f t="shared" si="5"/>
        <v>11540.307392639994</v>
      </c>
      <c r="O27" s="106">
        <f t="shared" si="5"/>
        <v>0</v>
      </c>
      <c r="P27" s="106">
        <f t="shared" si="5"/>
        <v>0</v>
      </c>
      <c r="Q27" s="106">
        <f t="shared" si="5"/>
        <v>0</v>
      </c>
      <c r="R27" s="106">
        <f t="shared" si="5"/>
        <v>0</v>
      </c>
      <c r="S27" s="106">
        <f t="shared" si="5"/>
        <v>0</v>
      </c>
      <c r="T27" s="106">
        <f t="shared" si="5"/>
        <v>0</v>
      </c>
      <c r="U27" s="106">
        <f t="shared" si="5"/>
        <v>0</v>
      </c>
      <c r="V27" s="106">
        <f t="shared" si="5"/>
        <v>0</v>
      </c>
      <c r="W27" s="106">
        <f t="shared" si="5"/>
        <v>0</v>
      </c>
      <c r="X27" s="106">
        <f t="shared" si="5"/>
        <v>0</v>
      </c>
      <c r="Y27" s="106">
        <f t="shared" si="5"/>
        <v>0</v>
      </c>
      <c r="Z27" s="106">
        <f t="shared" si="5"/>
        <v>0</v>
      </c>
      <c r="AA27" s="106">
        <f t="shared" si="5"/>
        <v>0</v>
      </c>
      <c r="AB27" s="34">
        <f t="shared" si="4"/>
        <v>3986044.0282044667</v>
      </c>
    </row>
    <row r="28" spans="1:28" x14ac:dyDescent="0.25">
      <c r="A28" s="5"/>
      <c r="C28" s="102"/>
      <c r="D28" s="102"/>
      <c r="E28" s="102"/>
      <c r="F28" s="102"/>
      <c r="G28" s="183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27"/>
    </row>
    <row r="29" spans="1:28" ht="18.75" x14ac:dyDescent="0.3">
      <c r="A29" s="5"/>
      <c r="B29" s="16" t="s">
        <v>51</v>
      </c>
      <c r="C29" s="102"/>
      <c r="D29" s="102"/>
      <c r="E29" s="102"/>
      <c r="F29" s="102"/>
      <c r="G29" s="183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27"/>
    </row>
    <row r="30" spans="1:28" x14ac:dyDescent="0.25">
      <c r="A30" s="5"/>
      <c r="B30" s="18" t="s">
        <v>52</v>
      </c>
      <c r="C30" s="100">
        <f>'Бюджетное финансирование'!D5</f>
        <v>0</v>
      </c>
      <c r="D30" s="100">
        <f>'Бюджетное финансирование'!E5</f>
        <v>0</v>
      </c>
      <c r="E30" s="100">
        <f>'Бюджетное финансирование'!F5</f>
        <v>0</v>
      </c>
      <c r="F30" s="100">
        <f>'Бюджетное финансирование'!G5</f>
        <v>0</v>
      </c>
      <c r="G30" s="181">
        <f>'Бюджетное финансирование'!H5</f>
        <v>20000000</v>
      </c>
      <c r="H30" s="100">
        <f>'Бюджетное финансирование'!I5</f>
        <v>24501662.849510811</v>
      </c>
      <c r="I30" s="100">
        <f>'Бюджетное финансирование'!J5</f>
        <v>0</v>
      </c>
      <c r="J30" s="100">
        <f>'Бюджетное финансирование'!K5</f>
        <v>0</v>
      </c>
      <c r="K30" s="100">
        <f>'Бюджетное финансирование'!L5</f>
        <v>0</v>
      </c>
      <c r="L30" s="100">
        <f>'Бюджетное финансирование'!M5</f>
        <v>0</v>
      </c>
      <c r="M30" s="100">
        <f>'Бюджетное финансирование'!N5</f>
        <v>0</v>
      </c>
      <c r="N30" s="100">
        <f>'Бюджетное финансирование'!O5</f>
        <v>0</v>
      </c>
      <c r="O30" s="100">
        <f>'Бюджетное финансирование'!P5</f>
        <v>0</v>
      </c>
      <c r="P30" s="100">
        <f>'Бюджетное финансирование'!Q5</f>
        <v>0</v>
      </c>
      <c r="Q30" s="100">
        <f>'Бюджетное финансирование'!R5</f>
        <v>0</v>
      </c>
      <c r="R30" s="100">
        <f>'Бюджетное финансирование'!S5</f>
        <v>0</v>
      </c>
      <c r="S30" s="100">
        <f>'Бюджетное финансирование'!T5</f>
        <v>0</v>
      </c>
      <c r="T30" s="100">
        <f>'Бюджетное финансирование'!U5</f>
        <v>0</v>
      </c>
      <c r="U30" s="100">
        <f>'Бюджетное финансирование'!V5</f>
        <v>0</v>
      </c>
      <c r="V30" s="100">
        <f>'Бюджетное финансирование'!W5</f>
        <v>0</v>
      </c>
      <c r="W30" s="100">
        <f>'Бюджетное финансирование'!X5</f>
        <v>0</v>
      </c>
      <c r="X30" s="100">
        <f>'Бюджетное финансирование'!Y5</f>
        <v>0</v>
      </c>
      <c r="Y30" s="100">
        <f>'Бюджетное финансирование'!Z5</f>
        <v>0</v>
      </c>
      <c r="Z30" s="100">
        <f>'Бюджетное финансирование'!AA5</f>
        <v>0</v>
      </c>
      <c r="AA30" s="100">
        <f>'Бюджетное финансирование'!AB5</f>
        <v>0</v>
      </c>
      <c r="AB30" s="34">
        <f>SUM(C30:AA30)</f>
        <v>44501662.849510811</v>
      </c>
    </row>
    <row r="31" spans="1:28" x14ac:dyDescent="0.25">
      <c r="A31" s="5"/>
      <c r="B31" s="18" t="s">
        <v>53</v>
      </c>
      <c r="C31" s="100">
        <f>'Бюджетное финансирование'!D13</f>
        <v>0</v>
      </c>
      <c r="D31" s="100">
        <f>'Бюджетное финансирование'!E13</f>
        <v>0</v>
      </c>
      <c r="E31" s="100">
        <f>'Бюджетное финансирование'!F13</f>
        <v>0</v>
      </c>
      <c r="F31" s="100">
        <f>'Бюджетное финансирование'!G13</f>
        <v>0</v>
      </c>
      <c r="G31" s="181">
        <f>'Бюджетное финансирование'!H13</f>
        <v>31834.210282149666</v>
      </c>
      <c r="H31" s="100">
        <f>'Бюджетное финансирование'!I13</f>
        <v>32147.885698225055</v>
      </c>
      <c r="I31" s="100">
        <f>'Бюджетное финансирование'!J13</f>
        <v>32464.651885699437</v>
      </c>
      <c r="J31" s="100">
        <f>'Бюджетное финансирование'!K13</f>
        <v>32784.539299199983</v>
      </c>
      <c r="K31" s="100">
        <f>'Бюджетное финансирование'!L13</f>
        <v>33107.578693435644</v>
      </c>
      <c r="L31" s="100">
        <f>'Бюджетное финансирование'!M13</f>
        <v>33433.801126154052</v>
      </c>
      <c r="M31" s="100">
        <f>'Бюджетное финансирование'!N13</f>
        <v>33763.237961127423</v>
      </c>
      <c r="N31" s="100">
        <f>'Бюджетное финансирование'!O13</f>
        <v>34095.920871167982</v>
      </c>
      <c r="O31" s="100">
        <f>'Бюджетное финансирование'!P13</f>
        <v>0</v>
      </c>
      <c r="P31" s="100">
        <f>'Бюджетное финансирование'!Q13</f>
        <v>0</v>
      </c>
      <c r="Q31" s="100">
        <f>'Бюджетное финансирование'!R13</f>
        <v>0</v>
      </c>
      <c r="R31" s="100">
        <f>'Бюджетное финансирование'!S13</f>
        <v>0</v>
      </c>
      <c r="S31" s="100">
        <f>'Бюджетное финансирование'!T13</f>
        <v>0</v>
      </c>
      <c r="T31" s="100">
        <f>'Бюджетное финансирование'!U13</f>
        <v>0</v>
      </c>
      <c r="U31" s="100">
        <f>'Бюджетное финансирование'!V13</f>
        <v>0</v>
      </c>
      <c r="V31" s="100">
        <f>'Бюджетное финансирование'!W13</f>
        <v>0</v>
      </c>
      <c r="W31" s="100">
        <f>'Бюджетное финансирование'!X13</f>
        <v>0</v>
      </c>
      <c r="X31" s="100">
        <f>'Бюджетное финансирование'!Y13</f>
        <v>0</v>
      </c>
      <c r="Y31" s="100">
        <f>'Бюджетное финансирование'!Z13</f>
        <v>0</v>
      </c>
      <c r="Z31" s="100">
        <f>'Бюджетное финансирование'!AA13</f>
        <v>0</v>
      </c>
      <c r="AA31" s="100">
        <f>'Бюджетное финансирование'!AB13</f>
        <v>0</v>
      </c>
      <c r="AB31" s="34">
        <f t="shared" ref="AB31:AB32" si="6">SUM(C31:AA31)</f>
        <v>263631.82581715926</v>
      </c>
    </row>
    <row r="32" spans="1:28" x14ac:dyDescent="0.25">
      <c r="A32" s="5"/>
      <c r="B32" s="33" t="s">
        <v>57</v>
      </c>
      <c r="C32" s="106">
        <f t="shared" ref="C32:AA32" si="7">SUM(C30:C31)</f>
        <v>0</v>
      </c>
      <c r="D32" s="106">
        <f t="shared" si="7"/>
        <v>0</v>
      </c>
      <c r="E32" s="106">
        <f t="shared" si="7"/>
        <v>0</v>
      </c>
      <c r="F32" s="106">
        <f t="shared" si="7"/>
        <v>0</v>
      </c>
      <c r="G32" s="186">
        <f t="shared" si="7"/>
        <v>20031834.210282151</v>
      </c>
      <c r="H32" s="106">
        <f t="shared" si="7"/>
        <v>24533810.735209037</v>
      </c>
      <c r="I32" s="106">
        <f t="shared" si="7"/>
        <v>32464.651885699437</v>
      </c>
      <c r="J32" s="106">
        <f t="shared" si="7"/>
        <v>32784.539299199983</v>
      </c>
      <c r="K32" s="106">
        <f t="shared" si="7"/>
        <v>33107.578693435644</v>
      </c>
      <c r="L32" s="106">
        <f t="shared" si="7"/>
        <v>33433.801126154052</v>
      </c>
      <c r="M32" s="106">
        <f t="shared" si="7"/>
        <v>33763.237961127423</v>
      </c>
      <c r="N32" s="106">
        <f t="shared" si="7"/>
        <v>34095.920871167982</v>
      </c>
      <c r="O32" s="106">
        <f t="shared" si="7"/>
        <v>0</v>
      </c>
      <c r="P32" s="106">
        <f t="shared" si="7"/>
        <v>0</v>
      </c>
      <c r="Q32" s="106">
        <f t="shared" si="7"/>
        <v>0</v>
      </c>
      <c r="R32" s="106">
        <f t="shared" si="7"/>
        <v>0</v>
      </c>
      <c r="S32" s="106">
        <f t="shared" si="7"/>
        <v>0</v>
      </c>
      <c r="T32" s="106">
        <f t="shared" si="7"/>
        <v>0</v>
      </c>
      <c r="U32" s="106">
        <f t="shared" si="7"/>
        <v>0</v>
      </c>
      <c r="V32" s="106">
        <f t="shared" si="7"/>
        <v>0</v>
      </c>
      <c r="W32" s="106">
        <f t="shared" si="7"/>
        <v>0</v>
      </c>
      <c r="X32" s="106">
        <f t="shared" si="7"/>
        <v>0</v>
      </c>
      <c r="Y32" s="106">
        <f t="shared" si="7"/>
        <v>0</v>
      </c>
      <c r="Z32" s="106">
        <f t="shared" si="7"/>
        <v>0</v>
      </c>
      <c r="AA32" s="106">
        <f t="shared" si="7"/>
        <v>0</v>
      </c>
      <c r="AB32" s="34">
        <f t="shared" si="6"/>
        <v>44765294.675327964</v>
      </c>
    </row>
    <row r="33" spans="1:29" x14ac:dyDescent="0.25">
      <c r="A33" s="5"/>
      <c r="B33" s="33"/>
      <c r="C33" s="267"/>
      <c r="D33" s="267"/>
      <c r="E33" s="267"/>
      <c r="F33" s="267"/>
      <c r="G33" s="268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267"/>
      <c r="V33" s="267"/>
      <c r="W33" s="267"/>
      <c r="X33" s="267"/>
      <c r="Y33" s="267"/>
      <c r="Z33" s="267"/>
      <c r="AA33" s="267"/>
      <c r="AB33" s="269"/>
    </row>
    <row r="34" spans="1:29" ht="18.75" x14ac:dyDescent="0.3">
      <c r="A34" s="31"/>
      <c r="B34" s="145" t="s">
        <v>17</v>
      </c>
      <c r="C34" s="102"/>
      <c r="D34" s="102"/>
      <c r="E34" s="102"/>
      <c r="F34" s="102"/>
      <c r="G34" s="183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</row>
    <row r="35" spans="1:29" x14ac:dyDescent="0.25">
      <c r="A35" s="5"/>
      <c r="B35" s="29" t="s">
        <v>239</v>
      </c>
      <c r="C35" s="105"/>
      <c r="D35" s="105"/>
      <c r="E35" s="105"/>
      <c r="F35" s="185">
        <f>SUM(C30:F31)</f>
        <v>0</v>
      </c>
      <c r="G35" s="185"/>
      <c r="H35" s="105"/>
      <c r="I35" s="105"/>
      <c r="J35" s="105">
        <f>SUM(G31:J31)*5/6+SUM(G30:J30)</f>
        <v>44609355.588815205</v>
      </c>
      <c r="K35" s="105"/>
      <c r="L35" s="105"/>
      <c r="M35" s="105"/>
      <c r="N35" s="105">
        <f>SUM(K31:N31)*5/6+SUM(K30:N30)</f>
        <v>112000.44887657092</v>
      </c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34">
        <f t="shared" ref="AB35:AB36" si="8">SUM(C35:AA35)</f>
        <v>44721356.037691779</v>
      </c>
    </row>
    <row r="36" spans="1:29" x14ac:dyDescent="0.25">
      <c r="A36" s="5"/>
      <c r="B36" s="29" t="s">
        <v>240</v>
      </c>
      <c r="C36" s="105"/>
      <c r="D36" s="105"/>
      <c r="E36" s="105"/>
      <c r="F36" s="185">
        <f>SUM(B12:F12)+SUM(B19:F19)+SUM(B27:F27)</f>
        <v>46046780.080242813</v>
      </c>
      <c r="G36" s="185"/>
      <c r="H36" s="105"/>
      <c r="I36" s="105"/>
      <c r="J36" s="105">
        <f>SUM(G12:J12)+SUM(G15:J15)*5/6+SUM(G27:J27)+SUM(G19:J19)</f>
        <v>753395.03555439529</v>
      </c>
      <c r="K36" s="105"/>
      <c r="L36" s="105"/>
      <c r="M36" s="105"/>
      <c r="N36" s="105">
        <f>SUM(K15:N15,K27:N27)*5/6</f>
        <v>104418.78177314762</v>
      </c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34">
        <f t="shared" si="8"/>
        <v>46904593.897570357</v>
      </c>
    </row>
    <row r="37" spans="1:29" x14ac:dyDescent="0.25">
      <c r="A37" s="5"/>
      <c r="B37" s="29" t="s">
        <v>242</v>
      </c>
      <c r="C37" s="108"/>
      <c r="D37" s="108"/>
      <c r="E37" s="108"/>
      <c r="F37" s="187">
        <f>E37+F35-F36</f>
        <v>-46046780.080242813</v>
      </c>
      <c r="G37" s="187"/>
      <c r="H37" s="108"/>
      <c r="I37" s="108"/>
      <c r="J37" s="108">
        <f>J35-J36+F37</f>
        <v>-2190819.526982002</v>
      </c>
      <c r="K37" s="108"/>
      <c r="L37" s="108"/>
      <c r="M37" s="108"/>
      <c r="N37" s="108">
        <f>N35-N36+J37</f>
        <v>-2183237.8598785787</v>
      </c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34"/>
    </row>
    <row r="38" spans="1:29" ht="18.75" x14ac:dyDescent="0.3">
      <c r="A38" s="31"/>
      <c r="B38" s="18" t="s">
        <v>238</v>
      </c>
      <c r="C38" s="105"/>
      <c r="D38" s="105"/>
      <c r="E38" s="105"/>
      <c r="F38" s="185">
        <f>IF(F37*0.15&gt;F35*0.01,F37*0.15,F35*0.01)</f>
        <v>0</v>
      </c>
      <c r="G38" s="185"/>
      <c r="H38" s="105"/>
      <c r="I38" s="105"/>
      <c r="J38" s="105">
        <f>IF(J37*0.15&gt;J35*0.01,J37*0.15,J35*0.01)</f>
        <v>446093.55588815204</v>
      </c>
      <c r="K38" s="105"/>
      <c r="L38" s="105"/>
      <c r="M38" s="105"/>
      <c r="N38" s="105">
        <f>N35*0.01</f>
        <v>1120.0044887657093</v>
      </c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34">
        <f t="shared" ref="AB38:AB40" si="9">SUM(C38:AA38)</f>
        <v>447213.56037691777</v>
      </c>
      <c r="AC38" s="191">
        <v>447215</v>
      </c>
    </row>
    <row r="39" spans="1:29" x14ac:dyDescent="0.25">
      <c r="A39" s="5"/>
      <c r="G39" s="110"/>
      <c r="AC39" s="27"/>
    </row>
    <row r="40" spans="1:29" x14ac:dyDescent="0.25">
      <c r="A40" s="5"/>
      <c r="B40" s="18" t="s">
        <v>241</v>
      </c>
      <c r="C40" s="108"/>
      <c r="D40" s="108"/>
      <c r="E40" s="108"/>
      <c r="F40" s="108"/>
      <c r="G40" s="108">
        <f>G31/6-G15/6</f>
        <v>2154.9590852588294</v>
      </c>
      <c r="H40" s="108">
        <f>H31/6-H15/6</f>
        <v>2176.1927732222789</v>
      </c>
      <c r="I40" s="108">
        <f t="shared" ref="I40:O40" si="10">I31/6-I15/6</f>
        <v>2197.6356853457651</v>
      </c>
      <c r="J40" s="108">
        <f t="shared" si="10"/>
        <v>2219.2898831999996</v>
      </c>
      <c r="K40" s="108">
        <f t="shared" si="10"/>
        <v>2241.1574486691811</v>
      </c>
      <c r="L40" s="108">
        <f t="shared" si="10"/>
        <v>2263.2404841511698</v>
      </c>
      <c r="M40" s="108">
        <f t="shared" si="10"/>
        <v>2285.5411127595971</v>
      </c>
      <c r="N40" s="108">
        <f t="shared" si="10"/>
        <v>2308.061478527999</v>
      </c>
      <c r="O40" s="108">
        <f t="shared" si="10"/>
        <v>0</v>
      </c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34">
        <f t="shared" si="9"/>
        <v>17846.077951134819</v>
      </c>
      <c r="AC40" s="191"/>
    </row>
    <row r="41" spans="1:29" ht="18.75" x14ac:dyDescent="0.3">
      <c r="A41" s="5"/>
      <c r="B41" s="16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27"/>
    </row>
    <row r="42" spans="1:29" x14ac:dyDescent="0.25">
      <c r="A42" s="5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</row>
    <row r="43" spans="1:29" x14ac:dyDescent="0.25">
      <c r="A43" s="5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</row>
    <row r="44" spans="1:29" x14ac:dyDescent="0.25">
      <c r="A44">
        <v>0</v>
      </c>
      <c r="B44" t="s">
        <v>56</v>
      </c>
      <c r="C44" s="127">
        <f>A44-C12-C15-C19-C20-C27-C38+C18+C32-C40</f>
        <v>1946509.2309675866</v>
      </c>
      <c r="D44" s="127">
        <f>C44-D12-D15-D19-D20-D27-D38+D18+D32-D40</f>
        <v>1303212.3830141015</v>
      </c>
      <c r="E44" s="127">
        <f t="shared" ref="E44:AA44" si="11">D44-E12-E15-E19-E20-E27-E38+E18+E32-E40</f>
        <v>1346837.6007821858</v>
      </c>
      <c r="F44" s="127">
        <f t="shared" si="11"/>
        <v>1356608.9197571883</v>
      </c>
      <c r="G44" s="127">
        <f t="shared" si="11"/>
        <v>1281101.5216321878</v>
      </c>
      <c r="H44" s="127">
        <f t="shared" si="11"/>
        <v>1212569.4730179987</v>
      </c>
      <c r="I44" s="127">
        <f t="shared" si="11"/>
        <v>-2190819.526982001</v>
      </c>
      <c r="J44" s="127">
        <f t="shared" si="11"/>
        <v>-2636913.0828701532</v>
      </c>
      <c r="K44" s="127">
        <f t="shared" si="11"/>
        <v>-2636913.0828701528</v>
      </c>
      <c r="L44" s="127">
        <f t="shared" si="11"/>
        <v>-2636913.0828701523</v>
      </c>
      <c r="M44" s="127">
        <f t="shared" si="11"/>
        <v>-2636913.0828701523</v>
      </c>
      <c r="N44" s="127">
        <f t="shared" si="11"/>
        <v>-2638033.0873589185</v>
      </c>
      <c r="O44" s="127">
        <f t="shared" si="11"/>
        <v>-2638033.0873589185</v>
      </c>
      <c r="P44" s="127">
        <f t="shared" si="11"/>
        <v>-2638033.0873589185</v>
      </c>
      <c r="Q44" s="127">
        <f t="shared" si="11"/>
        <v>-2638033.0873589185</v>
      </c>
      <c r="R44" s="127">
        <f t="shared" si="11"/>
        <v>-2638033.0873589185</v>
      </c>
      <c r="S44" s="127">
        <f t="shared" si="11"/>
        <v>-2638033.0873589185</v>
      </c>
      <c r="T44" s="127">
        <f t="shared" si="11"/>
        <v>-2638033.0873589185</v>
      </c>
      <c r="U44" s="127">
        <f t="shared" si="11"/>
        <v>-2638033.0873589185</v>
      </c>
      <c r="V44" s="127">
        <f t="shared" si="11"/>
        <v>-2638033.0873589185</v>
      </c>
      <c r="W44" s="127">
        <f t="shared" si="11"/>
        <v>-2638033.0873589185</v>
      </c>
      <c r="X44" s="127">
        <f t="shared" si="11"/>
        <v>-2638033.0873589185</v>
      </c>
      <c r="Y44" s="127">
        <f t="shared" si="11"/>
        <v>-2638033.0873589185</v>
      </c>
      <c r="Z44" s="127">
        <f t="shared" si="11"/>
        <v>-2638033.0873589185</v>
      </c>
      <c r="AA44" s="127">
        <f t="shared" si="11"/>
        <v>-2638033.0873589185</v>
      </c>
      <c r="AB44" s="127">
        <f>0-AB12-AB15-AB19-AB20-AB27-AB38+AB18+AB32-AB40</f>
        <v>-2638033.0873589306</v>
      </c>
    </row>
    <row r="45" spans="1:29" x14ac:dyDescent="0.25">
      <c r="A45">
        <v>0</v>
      </c>
      <c r="B45" t="s">
        <v>58</v>
      </c>
      <c r="C45" s="127">
        <f>A45+C18-C20</f>
        <v>4000000</v>
      </c>
      <c r="D45" s="127">
        <f>C45+D18-D20</f>
        <v>23500000</v>
      </c>
      <c r="E45" s="127">
        <f t="shared" ref="E45:AA45" si="12">D45+E18-E20</f>
        <v>40500000</v>
      </c>
      <c r="F45" s="127">
        <f t="shared" si="12"/>
        <v>47403389</v>
      </c>
      <c r="G45" s="127">
        <f t="shared" si="12"/>
        <v>27903389</v>
      </c>
      <c r="H45" s="127">
        <f t="shared" si="12"/>
        <v>3403389</v>
      </c>
      <c r="I45" s="127">
        <f t="shared" si="12"/>
        <v>0</v>
      </c>
      <c r="J45" s="127">
        <f t="shared" si="12"/>
        <v>0</v>
      </c>
      <c r="K45" s="127">
        <f t="shared" si="12"/>
        <v>0</v>
      </c>
      <c r="L45" s="127">
        <f t="shared" si="12"/>
        <v>0</v>
      </c>
      <c r="M45" s="127">
        <f t="shared" si="12"/>
        <v>0</v>
      </c>
      <c r="N45" s="127">
        <f t="shared" si="12"/>
        <v>0</v>
      </c>
      <c r="O45" s="127">
        <f t="shared" si="12"/>
        <v>0</v>
      </c>
      <c r="P45" s="127">
        <f t="shared" si="12"/>
        <v>0</v>
      </c>
      <c r="Q45" s="127">
        <f t="shared" si="12"/>
        <v>0</v>
      </c>
      <c r="R45" s="127">
        <f t="shared" si="12"/>
        <v>0</v>
      </c>
      <c r="S45" s="127">
        <f t="shared" si="12"/>
        <v>0</v>
      </c>
      <c r="T45" s="127">
        <f t="shared" si="12"/>
        <v>0</v>
      </c>
      <c r="U45" s="127">
        <f t="shared" si="12"/>
        <v>0</v>
      </c>
      <c r="V45" s="127">
        <f t="shared" si="12"/>
        <v>0</v>
      </c>
      <c r="W45" s="127">
        <f t="shared" si="12"/>
        <v>0</v>
      </c>
      <c r="X45" s="127">
        <f t="shared" si="12"/>
        <v>0</v>
      </c>
      <c r="Y45" s="127">
        <f t="shared" si="12"/>
        <v>0</v>
      </c>
      <c r="Z45" s="127">
        <f t="shared" si="12"/>
        <v>0</v>
      </c>
      <c r="AA45" s="127">
        <f t="shared" si="12"/>
        <v>0</v>
      </c>
    </row>
    <row r="46" spans="1:29" x14ac:dyDescent="0.25"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</row>
    <row r="47" spans="1:29" ht="18.75" x14ac:dyDescent="0.3">
      <c r="B47" s="16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27"/>
    </row>
  </sheetData>
  <hyperlinks>
    <hyperlink ref="A1" location="Структура!A1" display="к содержанию"/>
  </hyperlinks>
  <pageMargins left="0.7" right="0.7" top="0.75" bottom="0.75" header="0.3" footer="0.3"/>
  <pageSetup paperSize="9" orientation="portrait" horizontalDpi="180" verticalDpi="18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B57"/>
  <sheetViews>
    <sheetView zoomScale="76" zoomScaleNormal="76" workbookViewId="0">
      <pane xSplit="2" ySplit="6" topLeftCell="C25" activePane="bottomRight" state="frozen"/>
      <selection activeCell="G39" sqref="G39"/>
      <selection pane="topRight" activeCell="G39" sqref="G39"/>
      <selection pane="bottomLeft" activeCell="G39" sqref="G39"/>
      <selection pane="bottomRight" activeCell="I41" sqref="I41"/>
    </sheetView>
  </sheetViews>
  <sheetFormatPr defaultRowHeight="15" x14ac:dyDescent="0.25"/>
  <cols>
    <col min="1" max="1" width="7.5703125" customWidth="1"/>
    <col min="2" max="2" width="63.5703125" customWidth="1"/>
    <col min="3" max="3" width="11.140625" customWidth="1"/>
    <col min="4" max="4" width="12" bestFit="1" customWidth="1"/>
    <col min="5" max="5" width="11.7109375" customWidth="1"/>
    <col min="6" max="6" width="12.5703125" customWidth="1"/>
    <col min="7" max="7" width="12" bestFit="1" customWidth="1"/>
    <col min="8" max="8" width="12.140625" bestFit="1" customWidth="1"/>
    <col min="9" max="9" width="12.140625" customWidth="1"/>
    <col min="10" max="12" width="11.42578125" bestFit="1" customWidth="1"/>
    <col min="13" max="13" width="12" bestFit="1" customWidth="1"/>
    <col min="14" max="16" width="11.42578125" bestFit="1" customWidth="1"/>
    <col min="17" max="17" width="10.28515625" bestFit="1" customWidth="1"/>
    <col min="18" max="27" width="9.85546875" bestFit="1" customWidth="1"/>
    <col min="28" max="28" width="12.7109375" customWidth="1"/>
  </cols>
  <sheetData>
    <row r="1" spans="1:28" x14ac:dyDescent="0.25">
      <c r="A1" s="1" t="s">
        <v>1</v>
      </c>
    </row>
    <row r="2" spans="1:28" x14ac:dyDescent="0.25">
      <c r="B2" s="18"/>
      <c r="C2" s="150" t="s">
        <v>299</v>
      </c>
      <c r="D2" s="150" t="s">
        <v>302</v>
      </c>
      <c r="E2" s="150" t="s">
        <v>303</v>
      </c>
      <c r="F2" s="150" t="s">
        <v>258</v>
      </c>
      <c r="G2" s="150" t="s">
        <v>304</v>
      </c>
      <c r="H2" s="150" t="s">
        <v>305</v>
      </c>
    </row>
    <row r="3" spans="1:28" ht="18.75" x14ac:dyDescent="0.3">
      <c r="B3" s="36" t="s">
        <v>259</v>
      </c>
      <c r="C3" s="151">
        <f>C33</f>
        <v>687365.24927198258</v>
      </c>
      <c r="D3" s="152">
        <f>C41</f>
        <v>1.7283610707122726E-2</v>
      </c>
      <c r="E3" s="152">
        <f>C44</f>
        <v>1.2329807949246147E-2</v>
      </c>
      <c r="F3" s="153">
        <f>C50</f>
        <v>1.0076912472153798</v>
      </c>
      <c r="G3" s="154">
        <f>C54</f>
        <v>1.5</v>
      </c>
      <c r="H3" s="153">
        <f>C56</f>
        <v>3.25</v>
      </c>
    </row>
    <row r="5" spans="1:28" ht="18.75" x14ac:dyDescent="0.3">
      <c r="B5" s="16" t="s">
        <v>260</v>
      </c>
    </row>
    <row r="6" spans="1:28" x14ac:dyDescent="0.25">
      <c r="B6" t="s">
        <v>261</v>
      </c>
      <c r="C6" t="s">
        <v>25</v>
      </c>
      <c r="D6" t="s">
        <v>26</v>
      </c>
      <c r="E6" t="s">
        <v>27</v>
      </c>
      <c r="F6" t="s">
        <v>28</v>
      </c>
      <c r="G6" t="s">
        <v>29</v>
      </c>
      <c r="H6" t="s">
        <v>30</v>
      </c>
      <c r="I6" t="s">
        <v>31</v>
      </c>
      <c r="J6" t="s">
        <v>32</v>
      </c>
      <c r="K6" t="s">
        <v>33</v>
      </c>
      <c r="L6" t="s">
        <v>34</v>
      </c>
      <c r="M6" t="s">
        <v>35</v>
      </c>
      <c r="N6" t="s">
        <v>36</v>
      </c>
      <c r="O6" t="s">
        <v>37</v>
      </c>
      <c r="P6" t="s">
        <v>38</v>
      </c>
      <c r="Q6" t="s">
        <v>39</v>
      </c>
      <c r="R6" t="s">
        <v>40</v>
      </c>
      <c r="S6" t="s">
        <v>41</v>
      </c>
      <c r="T6" t="s">
        <v>42</v>
      </c>
      <c r="U6" t="s">
        <v>43</v>
      </c>
      <c r="V6" t="s">
        <v>44</v>
      </c>
      <c r="W6" t="s">
        <v>45</v>
      </c>
      <c r="X6" t="s">
        <v>46</v>
      </c>
      <c r="Y6" t="s">
        <v>47</v>
      </c>
      <c r="Z6" t="s">
        <v>48</v>
      </c>
      <c r="AA6" t="s">
        <v>255</v>
      </c>
      <c r="AB6" s="155" t="s">
        <v>57</v>
      </c>
    </row>
    <row r="7" spans="1:28" x14ac:dyDescent="0.25">
      <c r="B7" t="s">
        <v>262</v>
      </c>
      <c r="C7" s="156">
        <v>1</v>
      </c>
      <c r="D7" s="156">
        <v>2</v>
      </c>
      <c r="E7" s="156">
        <v>3</v>
      </c>
      <c r="F7" s="156">
        <v>4</v>
      </c>
      <c r="G7" s="156">
        <v>5</v>
      </c>
      <c r="H7" s="156">
        <v>6</v>
      </c>
      <c r="I7" s="156">
        <v>7</v>
      </c>
      <c r="J7" s="156">
        <v>8</v>
      </c>
      <c r="K7" s="156">
        <v>9</v>
      </c>
      <c r="L7" s="156">
        <v>10</v>
      </c>
      <c r="M7" s="156">
        <v>11</v>
      </c>
      <c r="N7" s="156">
        <v>12</v>
      </c>
      <c r="O7" s="156">
        <v>13</v>
      </c>
      <c r="P7" s="156">
        <v>14</v>
      </c>
      <c r="Q7" s="156">
        <v>15</v>
      </c>
      <c r="R7" s="156">
        <v>16</v>
      </c>
      <c r="S7" s="156">
        <v>17</v>
      </c>
      <c r="T7" s="156">
        <v>18</v>
      </c>
      <c r="U7" s="156">
        <v>19</v>
      </c>
      <c r="V7" s="156">
        <v>20</v>
      </c>
      <c r="W7" s="156">
        <v>21</v>
      </c>
      <c r="X7" s="156">
        <v>22</v>
      </c>
      <c r="Y7" s="156">
        <v>23</v>
      </c>
      <c r="Z7" s="156">
        <v>24</v>
      </c>
      <c r="AA7" s="156">
        <v>25</v>
      </c>
      <c r="AB7" s="157"/>
    </row>
    <row r="8" spans="1:28" x14ac:dyDescent="0.25">
      <c r="AB8" s="157"/>
    </row>
    <row r="9" spans="1:28" x14ac:dyDescent="0.25">
      <c r="B9" t="s">
        <v>263</v>
      </c>
      <c r="C9">
        <f>'Сводные данные с индексацией'!A44</f>
        <v>0</v>
      </c>
      <c r="D9" s="27">
        <f t="shared" ref="D9:AA9" si="0">C9+C10+C18+C22</f>
        <v>2029009.2309675866</v>
      </c>
      <c r="E9" s="27">
        <f t="shared" si="0"/>
        <v>1870399.8830141015</v>
      </c>
      <c r="F9" s="27">
        <f t="shared" si="0"/>
        <v>2749337.6007821858</v>
      </c>
      <c r="G9" s="27">
        <f t="shared" si="0"/>
        <v>3736803.8178821886</v>
      </c>
      <c r="H9" s="27">
        <f t="shared" si="0"/>
        <v>4236803.8178821877</v>
      </c>
      <c r="I9" s="27">
        <f t="shared" si="0"/>
        <v>4238466.6673929989</v>
      </c>
      <c r="J9" s="27">
        <f t="shared" si="0"/>
        <v>835077.66739299893</v>
      </c>
      <c r="K9" s="27">
        <f t="shared" si="0"/>
        <v>388984.11150484689</v>
      </c>
      <c r="L9" s="27">
        <f t="shared" si="0"/>
        <v>388984.11150484689</v>
      </c>
      <c r="M9" s="27">
        <f t="shared" si="0"/>
        <v>388984.11150484689</v>
      </c>
      <c r="N9" s="27">
        <f t="shared" si="0"/>
        <v>388984.11150484689</v>
      </c>
      <c r="O9" s="27">
        <f t="shared" si="0"/>
        <v>387864.10701608117</v>
      </c>
      <c r="P9" s="27">
        <f t="shared" si="0"/>
        <v>387864.10701608117</v>
      </c>
      <c r="Q9" s="27">
        <f t="shared" si="0"/>
        <v>387864.10701608117</v>
      </c>
      <c r="R9" s="27">
        <f t="shared" si="0"/>
        <v>387864.10701608117</v>
      </c>
      <c r="S9" s="27">
        <f t="shared" si="0"/>
        <v>387864.10701608117</v>
      </c>
      <c r="T9" s="27">
        <f t="shared" si="0"/>
        <v>387864.10701608117</v>
      </c>
      <c r="U9" s="27">
        <f t="shared" si="0"/>
        <v>387864.10701608117</v>
      </c>
      <c r="V9" s="27">
        <f t="shared" si="0"/>
        <v>387864.10701608117</v>
      </c>
      <c r="W9" s="27">
        <f t="shared" si="0"/>
        <v>387864.10701608117</v>
      </c>
      <c r="X9" s="27">
        <f t="shared" si="0"/>
        <v>387864.10701608117</v>
      </c>
      <c r="Y9" s="27">
        <f t="shared" si="0"/>
        <v>387864.10701608117</v>
      </c>
      <c r="Z9" s="27">
        <f t="shared" si="0"/>
        <v>387864.10701608117</v>
      </c>
      <c r="AA9" s="27">
        <f t="shared" si="0"/>
        <v>387864.10701608117</v>
      </c>
      <c r="AB9" s="157"/>
    </row>
    <row r="10" spans="1:28" x14ac:dyDescent="0.25">
      <c r="B10" s="158" t="s">
        <v>264</v>
      </c>
      <c r="C10" s="159">
        <f>SUM(C11:C16)</f>
        <v>-660201.04733185191</v>
      </c>
      <c r="D10" s="159">
        <f t="shared" ref="D10:AA10" si="1">SUM(D11:D16)</f>
        <v>-1883427.3235690398</v>
      </c>
      <c r="E10" s="159">
        <f t="shared" si="1"/>
        <v>-673275.60464790114</v>
      </c>
      <c r="F10" s="159">
        <f t="shared" si="1"/>
        <v>-679909.66289999988</v>
      </c>
      <c r="G10" s="159">
        <f t="shared" si="1"/>
        <v>5.8662408264353871E-11</v>
      </c>
      <c r="H10" s="159">
        <f t="shared" si="1"/>
        <v>4.0927261579781771E-12</v>
      </c>
      <c r="I10" s="159">
        <f t="shared" si="1"/>
        <v>0</v>
      </c>
      <c r="J10" s="159">
        <f t="shared" si="1"/>
        <v>-446093.55588815204</v>
      </c>
      <c r="K10" s="159">
        <f t="shared" si="1"/>
        <v>-4.0927261579781771E-12</v>
      </c>
      <c r="L10" s="159">
        <f t="shared" si="1"/>
        <v>0</v>
      </c>
      <c r="M10" s="159">
        <f t="shared" si="1"/>
        <v>0</v>
      </c>
      <c r="N10" s="159">
        <f t="shared" si="1"/>
        <v>-1120.0044887657086</v>
      </c>
      <c r="O10" s="159">
        <f t="shared" si="1"/>
        <v>0</v>
      </c>
      <c r="P10" s="159">
        <f t="shared" si="1"/>
        <v>0</v>
      </c>
      <c r="Q10" s="159">
        <f t="shared" si="1"/>
        <v>0</v>
      </c>
      <c r="R10" s="159">
        <f t="shared" si="1"/>
        <v>0</v>
      </c>
      <c r="S10" s="159">
        <f t="shared" si="1"/>
        <v>0</v>
      </c>
      <c r="T10" s="159">
        <f t="shared" si="1"/>
        <v>0</v>
      </c>
      <c r="U10" s="159">
        <f t="shared" si="1"/>
        <v>0</v>
      </c>
      <c r="V10" s="159">
        <f t="shared" si="1"/>
        <v>0</v>
      </c>
      <c r="W10" s="159">
        <f t="shared" si="1"/>
        <v>0</v>
      </c>
      <c r="X10" s="159">
        <f t="shared" si="1"/>
        <v>0</v>
      </c>
      <c r="Y10" s="159">
        <f t="shared" si="1"/>
        <v>0</v>
      </c>
      <c r="Z10" s="159">
        <f t="shared" si="1"/>
        <v>0</v>
      </c>
      <c r="AA10" s="159">
        <f t="shared" si="1"/>
        <v>0</v>
      </c>
      <c r="AB10" s="160">
        <f>SUM(C10:AA10)</f>
        <v>-4344027.1988257095</v>
      </c>
    </row>
    <row r="11" spans="1:28" x14ac:dyDescent="0.25">
      <c r="B11" s="18" t="s">
        <v>265</v>
      </c>
      <c r="C11" s="28">
        <f>'Сводные данные с индексацией'!C31</f>
        <v>0</v>
      </c>
      <c r="D11" s="28">
        <f>'Сводные данные с индексацией'!D31</f>
        <v>0</v>
      </c>
      <c r="E11" s="28">
        <f>'Сводные данные с индексацией'!E31</f>
        <v>0</v>
      </c>
      <c r="F11" s="28">
        <f>'Сводные данные с индексацией'!F31</f>
        <v>0</v>
      </c>
      <c r="G11" s="28">
        <f>'Сводные данные с индексацией'!G31</f>
        <v>31834.210282149666</v>
      </c>
      <c r="H11" s="28">
        <f>'Сводные данные с индексацией'!H31</f>
        <v>32147.885698225055</v>
      </c>
      <c r="I11" s="28">
        <f>'Сводные данные с индексацией'!I31</f>
        <v>32464.651885699437</v>
      </c>
      <c r="J11" s="28">
        <f>'Сводные данные с индексацией'!J31</f>
        <v>32784.539299199983</v>
      </c>
      <c r="K11" s="28">
        <f>'Сводные данные с индексацией'!K31</f>
        <v>33107.578693435644</v>
      </c>
      <c r="L11" s="28">
        <f>'Сводные данные с индексацией'!L31</f>
        <v>33433.801126154052</v>
      </c>
      <c r="M11" s="28">
        <f>'Сводные данные с индексацией'!M31</f>
        <v>33763.237961127423</v>
      </c>
      <c r="N11" s="28">
        <f>'Сводные данные с индексацией'!N31</f>
        <v>34095.920871167982</v>
      </c>
      <c r="O11" s="28">
        <f>'Сводные данные с индексацией'!O31</f>
        <v>0</v>
      </c>
      <c r="P11" s="28">
        <f>'Сводные данные с индексацией'!P31</f>
        <v>0</v>
      </c>
      <c r="Q11" s="28">
        <f>'Сводные данные с индексацией'!Q31</f>
        <v>0</v>
      </c>
      <c r="R11" s="28">
        <f>'Сводные данные с индексацией'!R31</f>
        <v>0</v>
      </c>
      <c r="S11" s="28">
        <f>'Сводные данные с индексацией'!S31</f>
        <v>0</v>
      </c>
      <c r="T11" s="28">
        <f>'Сводные данные с индексацией'!T31</f>
        <v>0</v>
      </c>
      <c r="U11" s="28">
        <f>'Сводные данные с индексацией'!U31</f>
        <v>0</v>
      </c>
      <c r="V11" s="28">
        <f>'Сводные данные с индексацией'!V31</f>
        <v>0</v>
      </c>
      <c r="W11" s="28">
        <f>'Сводные данные с индексацией'!W31</f>
        <v>0</v>
      </c>
      <c r="X11" s="28">
        <f>'Сводные данные с индексацией'!X31</f>
        <v>0</v>
      </c>
      <c r="Y11" s="28">
        <f>'Сводные данные с индексацией'!Y31</f>
        <v>0</v>
      </c>
      <c r="Z11" s="28">
        <f>'Сводные данные с индексацией'!Z31</f>
        <v>0</v>
      </c>
      <c r="AA11" s="28">
        <f>'Сводные данные с индексацией'!AA31</f>
        <v>0</v>
      </c>
      <c r="AB11" s="28">
        <f t="shared" ref="AB11:AB14" si="2">SUM(C11:AA11)</f>
        <v>263631.82581715926</v>
      </c>
    </row>
    <row r="12" spans="1:28" x14ac:dyDescent="0.25">
      <c r="B12" s="18" t="s">
        <v>291</v>
      </c>
      <c r="C12" s="28">
        <f>-'Сводные данные с индексацией'!C15</f>
        <v>0</v>
      </c>
      <c r="D12" s="28">
        <f>-'Сводные данные с индексацией'!D15</f>
        <v>0</v>
      </c>
      <c r="E12" s="28">
        <f>-'Сводные данные с индексацией'!E15</f>
        <v>0</v>
      </c>
      <c r="F12" s="28">
        <f>-'Сводные данные с индексацией'!F15</f>
        <v>0</v>
      </c>
      <c r="G12" s="28">
        <f>-'Сводные данные с индексацией'!G15</f>
        <v>-18904.455770596691</v>
      </c>
      <c r="H12" s="28">
        <f>-'Сводные данные с индексацией'!H15</f>
        <v>-19090.729058891382</v>
      </c>
      <c r="I12" s="28">
        <f>-'Сводные данные с индексацией'!I15</f>
        <v>-19278.837773624848</v>
      </c>
      <c r="J12" s="28">
        <f>-'Сводные данные с индексацией'!J15</f>
        <v>-19468.799999999988</v>
      </c>
      <c r="K12" s="28">
        <f>-'Сводные данные с индексацией'!K15</f>
        <v>-19660.634001420556</v>
      </c>
      <c r="L12" s="28">
        <f>-'Сводные данные с индексацией'!L15</f>
        <v>-19854.358221247032</v>
      </c>
      <c r="M12" s="28">
        <f>-'Сводные данные с индексацией'!M15</f>
        <v>-20049.991284569842</v>
      </c>
      <c r="N12" s="28">
        <f>-'Сводные данные с индексацией'!N15</f>
        <v>-20247.551999999989</v>
      </c>
      <c r="O12" s="28">
        <f>-'Сводные данные с индексацией'!O15</f>
        <v>0</v>
      </c>
      <c r="P12" s="28">
        <f>-'Сводные данные с индексацией'!P15</f>
        <v>0</v>
      </c>
      <c r="Q12" s="28">
        <f>-'Сводные данные с индексацией'!Q15</f>
        <v>0</v>
      </c>
      <c r="R12" s="28">
        <f>-'Сводные данные с индексацией'!R15</f>
        <v>0</v>
      </c>
      <c r="S12" s="28">
        <f>-'Сводные данные с индексацией'!S15</f>
        <v>0</v>
      </c>
      <c r="T12" s="28">
        <f>-'Сводные данные с индексацией'!T15</f>
        <v>0</v>
      </c>
      <c r="U12" s="28">
        <f>-'Сводные данные с индексацией'!U15</f>
        <v>0</v>
      </c>
      <c r="V12" s="28">
        <f>-'Сводные данные с индексацией'!V15</f>
        <v>0</v>
      </c>
      <c r="W12" s="28">
        <f>-'Сводные данные с индексацией'!W15</f>
        <v>0</v>
      </c>
      <c r="X12" s="28">
        <f>-'Сводные данные с индексацией'!X15</f>
        <v>0</v>
      </c>
      <c r="Y12" s="28">
        <f>-'Сводные данные с индексацией'!Y15</f>
        <v>0</v>
      </c>
      <c r="Z12" s="28">
        <f>-'Сводные данные с индексацией'!Z15</f>
        <v>0</v>
      </c>
      <c r="AA12" s="28">
        <f>-'Сводные данные с индексацией'!AA15</f>
        <v>0</v>
      </c>
      <c r="AB12" s="28">
        <f t="shared" si="2"/>
        <v>-156555.35811035035</v>
      </c>
    </row>
    <row r="13" spans="1:28" x14ac:dyDescent="0.25">
      <c r="B13" s="18" t="s">
        <v>294</v>
      </c>
      <c r="C13" s="28">
        <f>-'Заемные средства'!C8</f>
        <v>-82500</v>
      </c>
      <c r="D13" s="28">
        <f>-'Заемные средства'!D8</f>
        <v>-484687.5</v>
      </c>
      <c r="E13" s="28">
        <f>-'Заемные средства'!E8</f>
        <v>-835312.5</v>
      </c>
      <c r="F13" s="28">
        <f>-'Заемные средства'!F8</f>
        <v>-977694.89812500007</v>
      </c>
      <c r="G13" s="28">
        <f>-'Заемные средства'!G8</f>
        <v>-575507.39812500007</v>
      </c>
      <c r="H13" s="28">
        <f>-'Заемные средства'!H8</f>
        <v>-70194.898125000007</v>
      </c>
      <c r="I13" s="28">
        <f>-'Заемные средства'!I8</f>
        <v>0</v>
      </c>
      <c r="J13" s="28">
        <f>-'Заемные средства'!J8</f>
        <v>0</v>
      </c>
      <c r="K13" s="28">
        <f>-'Заемные средства'!K8</f>
        <v>0</v>
      </c>
      <c r="L13" s="28">
        <f>-'Заемные средства'!L8</f>
        <v>0</v>
      </c>
      <c r="M13" s="28">
        <f>-'Заемные средства'!M8</f>
        <v>0</v>
      </c>
      <c r="N13" s="28">
        <f>-'Заемные средства'!N8</f>
        <v>0</v>
      </c>
      <c r="O13" s="28">
        <f>-'Заемные средства'!O8</f>
        <v>0</v>
      </c>
      <c r="P13" s="28">
        <f>-'Заемные средства'!P8</f>
        <v>0</v>
      </c>
      <c r="Q13" s="28">
        <f>-'Заемные средства'!Q8</f>
        <v>0</v>
      </c>
      <c r="R13" s="28">
        <f>-'Заемные средства'!R8</f>
        <v>0</v>
      </c>
      <c r="S13" s="28">
        <f>-'Заемные средства'!S8</f>
        <v>0</v>
      </c>
      <c r="T13" s="28">
        <f>-'Заемные средства'!T8</f>
        <v>0</v>
      </c>
      <c r="U13" s="28">
        <f>-'Заемные средства'!U8</f>
        <v>0</v>
      </c>
      <c r="V13" s="28">
        <f>-'Заемные средства'!V8</f>
        <v>0</v>
      </c>
      <c r="W13" s="28">
        <f>-'Заемные средства'!W8</f>
        <v>0</v>
      </c>
      <c r="X13" s="28">
        <f>-'Заемные средства'!X8</f>
        <v>0</v>
      </c>
      <c r="Y13" s="28">
        <f>-'Заемные средства'!Y8</f>
        <v>0</v>
      </c>
      <c r="Z13" s="28">
        <f>-'Заемные средства'!Z8</f>
        <v>0</v>
      </c>
      <c r="AA13" s="28">
        <f>-'Заемные средства'!AA8</f>
        <v>0</v>
      </c>
      <c r="AB13" s="28">
        <f t="shared" si="2"/>
        <v>-3025897.1943750004</v>
      </c>
    </row>
    <row r="14" spans="1:28" x14ac:dyDescent="0.25">
      <c r="B14" s="18" t="s">
        <v>266</v>
      </c>
      <c r="C14" s="28">
        <f>-'Сводные данные с индексацией'!C27</f>
        <v>-660201.04733185191</v>
      </c>
      <c r="D14" s="28">
        <f>-'Сводные данные с индексацией'!D27</f>
        <v>-1883427.3235690398</v>
      </c>
      <c r="E14" s="28">
        <f>-'Сводные данные с индексацией'!E27</f>
        <v>-673275.60464790114</v>
      </c>
      <c r="F14" s="28">
        <f>-'Сводные данные с индексацией'!F27</f>
        <v>-679909.66289999988</v>
      </c>
      <c r="G14" s="28">
        <f>-'Сводные данные с индексацией'!G27</f>
        <v>-10774.795426294146</v>
      </c>
      <c r="H14" s="28">
        <f>-'Сводные данные с индексацией'!H27</f>
        <v>-10880.963866111393</v>
      </c>
      <c r="I14" s="28">
        <f>-'Сводные данные с индексацией'!I27</f>
        <v>-10988.178426728828</v>
      </c>
      <c r="J14" s="28">
        <f>-'Сводные данные с индексацией'!J27</f>
        <v>-11096.449415999994</v>
      </c>
      <c r="K14" s="28">
        <f>-'Сводные данные с индексацией'!K27</f>
        <v>-11205.787243345911</v>
      </c>
      <c r="L14" s="28">
        <f>-'Сводные данные с индексацией'!L27</f>
        <v>-11316.202420755848</v>
      </c>
      <c r="M14" s="28">
        <f>-'Сводные данные с индексацией'!M27</f>
        <v>-11427.705563797981</v>
      </c>
      <c r="N14" s="28">
        <f>-'Сводные данные с индексацией'!N27</f>
        <v>-11540.307392639994</v>
      </c>
      <c r="O14" s="28">
        <f>-'Сводные данные с индексацией'!O27</f>
        <v>0</v>
      </c>
      <c r="P14" s="28">
        <f>-'Сводные данные с индексацией'!P27</f>
        <v>0</v>
      </c>
      <c r="Q14" s="28">
        <f>-'Сводные данные с индексацией'!Q27</f>
        <v>0</v>
      </c>
      <c r="R14" s="28">
        <f>-'Сводные данные с индексацией'!R27</f>
        <v>0</v>
      </c>
      <c r="S14" s="28">
        <f>-'Сводные данные с индексацией'!S27</f>
        <v>0</v>
      </c>
      <c r="T14" s="28">
        <f>-'Сводные данные с индексацией'!T27</f>
        <v>0</v>
      </c>
      <c r="U14" s="28">
        <f>-'Сводные данные с индексацией'!U27</f>
        <v>0</v>
      </c>
      <c r="V14" s="28">
        <f>-'Сводные данные с индексацией'!V27</f>
        <v>0</v>
      </c>
      <c r="W14" s="28">
        <f>-'Сводные данные с индексацией'!W27</f>
        <v>0</v>
      </c>
      <c r="X14" s="28">
        <f>-'Сводные данные с индексацией'!X27</f>
        <v>0</v>
      </c>
      <c r="Y14" s="28">
        <f>-'Сводные данные с индексацией'!Y27</f>
        <v>0</v>
      </c>
      <c r="Z14" s="28">
        <f>-'Сводные данные с индексацией'!Z27</f>
        <v>0</v>
      </c>
      <c r="AA14" s="28">
        <f>-'Сводные данные с индексацией'!AA27</f>
        <v>0</v>
      </c>
      <c r="AB14" s="28">
        <f t="shared" si="2"/>
        <v>-3986044.0282044667</v>
      </c>
    </row>
    <row r="15" spans="1:28" x14ac:dyDescent="0.25">
      <c r="B15" s="18" t="s">
        <v>292</v>
      </c>
      <c r="C15" s="28">
        <f>'Заемные средства'!C8</f>
        <v>82500</v>
      </c>
      <c r="D15" s="28">
        <f>'Заемные средства'!D8</f>
        <v>484687.5</v>
      </c>
      <c r="E15" s="28">
        <f>'Заемные средства'!E8</f>
        <v>835312.5</v>
      </c>
      <c r="F15" s="28">
        <f>'Заемные средства'!F8</f>
        <v>977694.89812500007</v>
      </c>
      <c r="G15" s="28">
        <f>'Заемные средства'!G8</f>
        <v>575507.39812500007</v>
      </c>
      <c r="H15" s="28">
        <f>'Заемные средства'!H8</f>
        <v>70194.898125000007</v>
      </c>
      <c r="I15" s="28">
        <f>'Заемные средства'!I8</f>
        <v>0</v>
      </c>
      <c r="J15" s="28">
        <f>'Заемные средства'!J8</f>
        <v>0</v>
      </c>
      <c r="K15" s="28">
        <f>'Заемные средства'!K8</f>
        <v>0</v>
      </c>
      <c r="L15" s="28">
        <f>'Заемные средства'!L8</f>
        <v>0</v>
      </c>
      <c r="M15" s="28">
        <f>'Заемные средства'!M8</f>
        <v>0</v>
      </c>
      <c r="N15" s="28">
        <f>'Заемные средства'!N8</f>
        <v>0</v>
      </c>
      <c r="O15" s="28">
        <f>'Заемные средства'!O8</f>
        <v>0</v>
      </c>
      <c r="P15" s="28">
        <f>'Заемные средства'!P8</f>
        <v>0</v>
      </c>
      <c r="Q15" s="28">
        <f>'Заемные средства'!Q8</f>
        <v>0</v>
      </c>
      <c r="R15" s="28">
        <f>'Заемные средства'!R8</f>
        <v>0</v>
      </c>
      <c r="S15" s="28">
        <f>'Заемные средства'!S8</f>
        <v>0</v>
      </c>
      <c r="T15" s="28">
        <f>'Заемные средства'!T8</f>
        <v>0</v>
      </c>
      <c r="U15" s="28">
        <f>'Заемные средства'!U8</f>
        <v>0</v>
      </c>
      <c r="V15" s="28">
        <f>'Заемные средства'!V8</f>
        <v>0</v>
      </c>
      <c r="W15" s="28">
        <f>'Заемные средства'!W8</f>
        <v>0</v>
      </c>
      <c r="X15" s="28">
        <f>'Заемные средства'!X8</f>
        <v>0</v>
      </c>
      <c r="Y15" s="28">
        <f>'Заемные средства'!Y8</f>
        <v>0</v>
      </c>
      <c r="Z15" s="28">
        <f>'Заемные средства'!Z8</f>
        <v>0</v>
      </c>
      <c r="AA15" s="28">
        <f>'Заемные средства'!AA8</f>
        <v>0</v>
      </c>
      <c r="AB15" s="28"/>
    </row>
    <row r="16" spans="1:28" x14ac:dyDescent="0.25">
      <c r="B16" s="18" t="s">
        <v>267</v>
      </c>
      <c r="C16" s="28">
        <f>-'Сводные данные с индексацией'!C38-'Сводные данные с индексацией'!C40</f>
        <v>0</v>
      </c>
      <c r="D16" s="28">
        <f>-'Сводные данные с индексацией'!D38-'Сводные данные с индексацией'!D40</f>
        <v>0</v>
      </c>
      <c r="E16" s="28">
        <f>-'Сводные данные с индексацией'!E38-'Сводные данные с индексацией'!E40</f>
        <v>0</v>
      </c>
      <c r="F16" s="28">
        <f>-'Сводные данные с индексацией'!F38-'Сводные данные с индексацией'!F40</f>
        <v>0</v>
      </c>
      <c r="G16" s="28">
        <f>-'Сводные данные с индексацией'!G38-'Сводные данные с индексацией'!G40</f>
        <v>-2154.9590852588294</v>
      </c>
      <c r="H16" s="28">
        <f>-'Сводные данные с индексацией'!H38-'Сводные данные с индексацией'!H40</f>
        <v>-2176.1927732222789</v>
      </c>
      <c r="I16" s="28">
        <f>-'Сводные данные с индексацией'!I38-'Сводные данные с индексацией'!I40</f>
        <v>-2197.6356853457651</v>
      </c>
      <c r="J16" s="28">
        <f>-'Сводные данные с индексацией'!J38-'Сводные данные с индексацией'!J40</f>
        <v>-448312.84577135206</v>
      </c>
      <c r="K16" s="28">
        <f>-'Сводные данные с индексацией'!K38-'Сводные данные с индексацией'!K40</f>
        <v>-2241.1574486691811</v>
      </c>
      <c r="L16" s="28">
        <f>-'Сводные данные с индексацией'!L38-'Сводные данные с индексацией'!L40</f>
        <v>-2263.2404841511698</v>
      </c>
      <c r="M16" s="28">
        <f>-'Сводные данные с индексацией'!M38-'Сводные данные с индексацией'!M40</f>
        <v>-2285.5411127595971</v>
      </c>
      <c r="N16" s="28">
        <f>-'Сводные данные с индексацией'!N38-'Сводные данные с индексацией'!N40</f>
        <v>-3428.0659672937081</v>
      </c>
      <c r="O16" s="28">
        <f>-'Сводные данные с индексацией'!O38-'Сводные данные с индексацией'!O40</f>
        <v>0</v>
      </c>
      <c r="P16" s="28">
        <f>-'Сводные данные с индексацией'!P38-'Сводные данные с индексацией'!P40</f>
        <v>0</v>
      </c>
      <c r="Q16" s="28">
        <f>-'Сводные данные с индексацией'!Q38-'Сводные данные с индексацией'!Q40</f>
        <v>0</v>
      </c>
      <c r="R16" s="28">
        <f>-'Сводные данные с индексацией'!R38-'Сводные данные с индексацией'!R40</f>
        <v>0</v>
      </c>
      <c r="S16" s="28">
        <f>-'Сводные данные с индексацией'!S38-'Сводные данные с индексацией'!S40</f>
        <v>0</v>
      </c>
      <c r="T16" s="28">
        <f>-'Сводные данные с индексацией'!T38-'Сводные данные с индексацией'!T40</f>
        <v>0</v>
      </c>
      <c r="U16" s="28">
        <f>-'Сводные данные с индексацией'!U38-'Сводные данные с индексацией'!U40</f>
        <v>0</v>
      </c>
      <c r="V16" s="28">
        <f>-'Сводные данные с индексацией'!V38-'Сводные данные с индексацией'!V40</f>
        <v>0</v>
      </c>
      <c r="W16" s="28">
        <f>-'Сводные данные с индексацией'!W38-'Сводные данные с индексацией'!W40</f>
        <v>0</v>
      </c>
      <c r="X16" s="28">
        <f>-'Сводные данные с индексацией'!X38-'Сводные данные с индексацией'!X40</f>
        <v>0</v>
      </c>
      <c r="Y16" s="28">
        <f>-'Сводные данные с индексацией'!Y38-'Сводные данные с индексацией'!Y40</f>
        <v>0</v>
      </c>
      <c r="Z16" s="28">
        <f>-'Сводные данные с индексацией'!Z38-'Сводные данные с индексацией'!Z40</f>
        <v>0</v>
      </c>
      <c r="AA16" s="28">
        <f>-'Сводные данные с индексацией'!AA38-'Сводные данные с индексацией'!AA40</f>
        <v>0</v>
      </c>
      <c r="AB16" s="28">
        <f>SUM(C16:AA16)</f>
        <v>-465059.63832805259</v>
      </c>
    </row>
    <row r="17" spans="2:28" x14ac:dyDescent="0.25">
      <c r="B17" s="5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2"/>
    </row>
    <row r="18" spans="2:28" x14ac:dyDescent="0.25">
      <c r="B18" s="158" t="s">
        <v>268</v>
      </c>
      <c r="C18" s="159">
        <f>SUM(C19:C20)</f>
        <v>-1310789.7217005615</v>
      </c>
      <c r="D18" s="159">
        <f t="shared" ref="D18:AA18" si="3">SUM(D19:D20)</f>
        <v>-17775182.024384446</v>
      </c>
      <c r="E18" s="159">
        <f t="shared" si="3"/>
        <v>-15447786.677584015</v>
      </c>
      <c r="F18" s="159">
        <f t="shared" si="3"/>
        <v>-5236013.1199999973</v>
      </c>
      <c r="G18" s="159">
        <f t="shared" si="3"/>
        <v>20000000</v>
      </c>
      <c r="H18" s="159">
        <f t="shared" si="3"/>
        <v>24501662.849510811</v>
      </c>
      <c r="I18" s="159">
        <f t="shared" si="3"/>
        <v>0</v>
      </c>
      <c r="J18" s="159">
        <f t="shared" si="3"/>
        <v>0</v>
      </c>
      <c r="K18" s="159">
        <f t="shared" si="3"/>
        <v>0</v>
      </c>
      <c r="L18" s="159">
        <f t="shared" si="3"/>
        <v>0</v>
      </c>
      <c r="M18" s="159">
        <f t="shared" si="3"/>
        <v>0</v>
      </c>
      <c r="N18" s="159">
        <f t="shared" si="3"/>
        <v>0</v>
      </c>
      <c r="O18" s="159">
        <f t="shared" si="3"/>
        <v>0</v>
      </c>
      <c r="P18" s="159">
        <f t="shared" si="3"/>
        <v>0</v>
      </c>
      <c r="Q18" s="159">
        <f t="shared" si="3"/>
        <v>0</v>
      </c>
      <c r="R18" s="159">
        <f t="shared" si="3"/>
        <v>0</v>
      </c>
      <c r="S18" s="159">
        <f t="shared" si="3"/>
        <v>0</v>
      </c>
      <c r="T18" s="159">
        <f t="shared" si="3"/>
        <v>0</v>
      </c>
      <c r="U18" s="159">
        <f t="shared" si="3"/>
        <v>0</v>
      </c>
      <c r="V18" s="159">
        <f t="shared" si="3"/>
        <v>0</v>
      </c>
      <c r="W18" s="159">
        <f t="shared" si="3"/>
        <v>0</v>
      </c>
      <c r="X18" s="159">
        <f t="shared" si="3"/>
        <v>0</v>
      </c>
      <c r="Y18" s="159">
        <f t="shared" si="3"/>
        <v>0</v>
      </c>
      <c r="Z18" s="159">
        <f t="shared" si="3"/>
        <v>0</v>
      </c>
      <c r="AA18" s="159">
        <f t="shared" si="3"/>
        <v>0</v>
      </c>
      <c r="AB18" s="160">
        <f>SUM(C18:AA18)</f>
        <v>4731891.3058417886</v>
      </c>
    </row>
    <row r="19" spans="2:28" x14ac:dyDescent="0.25">
      <c r="B19" s="18" t="s">
        <v>257</v>
      </c>
      <c r="C19" s="28">
        <f>-'Сводные данные с индексацией'!C12</f>
        <v>-1310789.7217005615</v>
      </c>
      <c r="D19" s="28">
        <f>-'Сводные данные с индексацией'!D12</f>
        <v>-17775182.024384446</v>
      </c>
      <c r="E19" s="28">
        <f>-'Сводные данные с индексацией'!E12</f>
        <v>-15447786.677584015</v>
      </c>
      <c r="F19" s="28">
        <f>-'Сводные данные с индексацией'!F12</f>
        <v>-5236013.1199999973</v>
      </c>
      <c r="G19" s="28">
        <f>-'Сводные данные с индексацией'!G12</f>
        <v>0</v>
      </c>
      <c r="H19" s="28">
        <f>-'Сводные данные с индексацией'!H12</f>
        <v>0</v>
      </c>
      <c r="I19" s="28">
        <f>-'Сводные данные с индексацией'!I12</f>
        <v>0</v>
      </c>
      <c r="J19" s="28">
        <f>-'Сводные данные с индексацией'!J12</f>
        <v>0</v>
      </c>
      <c r="K19" s="28">
        <f>-'Сводные данные с индексацией'!K12</f>
        <v>0</v>
      </c>
      <c r="L19" s="28">
        <f>-'Сводные данные с индексацией'!L12</f>
        <v>0</v>
      </c>
      <c r="M19" s="28">
        <f>-'Сводные данные с индексацией'!M12</f>
        <v>0</v>
      </c>
      <c r="N19" s="28">
        <f>-'Сводные данные с индексацией'!N12</f>
        <v>0</v>
      </c>
      <c r="O19" s="28">
        <f>-'Сводные данные с индексацией'!O12</f>
        <v>0</v>
      </c>
      <c r="P19" s="28">
        <f>-'Сводные данные с индексацией'!P12</f>
        <v>0</v>
      </c>
      <c r="Q19" s="28">
        <f>-'Сводные данные с индексацией'!Q12</f>
        <v>0</v>
      </c>
      <c r="R19" s="28">
        <f>-'Сводные данные с индексацией'!R12</f>
        <v>0</v>
      </c>
      <c r="S19" s="28">
        <f>-'Сводные данные с индексацией'!S12</f>
        <v>0</v>
      </c>
      <c r="T19" s="28">
        <f>-'Сводные данные с индексацией'!T12</f>
        <v>0</v>
      </c>
      <c r="U19" s="28">
        <f>-'Сводные данные с индексацией'!U12</f>
        <v>0</v>
      </c>
      <c r="V19" s="28">
        <f>-'Сводные данные с индексацией'!V12</f>
        <v>0</v>
      </c>
      <c r="W19" s="28">
        <f>-'Сводные данные с индексацией'!W12</f>
        <v>0</v>
      </c>
      <c r="X19" s="28">
        <f>-'Сводные данные с индексацией'!X12</f>
        <v>0</v>
      </c>
      <c r="Y19" s="28">
        <f>-'Сводные данные с индексацией'!Y12</f>
        <v>0</v>
      </c>
      <c r="Z19" s="28">
        <f>-'Сводные данные с индексацией'!Z12</f>
        <v>0</v>
      </c>
      <c r="AA19" s="28">
        <f>-'Сводные данные с индексацией'!AA12</f>
        <v>0</v>
      </c>
      <c r="AB19" s="28">
        <f>SUM(C19:AA19)</f>
        <v>-39769771.543669023</v>
      </c>
    </row>
    <row r="20" spans="2:28" x14ac:dyDescent="0.25">
      <c r="B20" s="18" t="s">
        <v>269</v>
      </c>
      <c r="C20" s="28">
        <f>'Сводные данные с индексацией'!C30</f>
        <v>0</v>
      </c>
      <c r="D20" s="28">
        <f>'Сводные данные с индексацией'!D30</f>
        <v>0</v>
      </c>
      <c r="E20" s="28">
        <f>'Сводные данные с индексацией'!E30</f>
        <v>0</v>
      </c>
      <c r="F20" s="28">
        <f>'Сводные данные с индексацией'!F30</f>
        <v>0</v>
      </c>
      <c r="G20" s="28">
        <f>'Сводные данные с индексацией'!G30</f>
        <v>20000000</v>
      </c>
      <c r="H20" s="28">
        <f>'Сводные данные с индексацией'!H30</f>
        <v>24501662.849510811</v>
      </c>
      <c r="I20" s="28">
        <f>'Сводные данные с индексацией'!I30</f>
        <v>0</v>
      </c>
      <c r="J20" s="28">
        <f>'Сводные данные с индексацией'!J30</f>
        <v>0</v>
      </c>
      <c r="K20" s="28">
        <f>'Сводные данные с индексацией'!K30</f>
        <v>0</v>
      </c>
      <c r="L20" s="28">
        <f>'Сводные данные с индексацией'!L30</f>
        <v>0</v>
      </c>
      <c r="M20" s="28">
        <f>'Сводные данные с индексацией'!M30</f>
        <v>0</v>
      </c>
      <c r="N20" s="28">
        <f>'Сводные данные с индексацией'!N30</f>
        <v>0</v>
      </c>
      <c r="O20" s="28">
        <f>'Сводные данные с индексацией'!O30</f>
        <v>0</v>
      </c>
      <c r="P20" s="28">
        <f>'Сводные данные с индексацией'!P30</f>
        <v>0</v>
      </c>
      <c r="Q20" s="28">
        <f>'Сводные данные с индексацией'!Q30</f>
        <v>0</v>
      </c>
      <c r="R20" s="28">
        <f>'Сводные данные с индексацией'!R30</f>
        <v>0</v>
      </c>
      <c r="S20" s="28">
        <f>'Сводные данные с индексацией'!S30</f>
        <v>0</v>
      </c>
      <c r="T20" s="28">
        <f>'Сводные данные с индексацией'!T30</f>
        <v>0</v>
      </c>
      <c r="U20" s="28">
        <f>'Сводные данные с индексацией'!U30</f>
        <v>0</v>
      </c>
      <c r="V20" s="28">
        <f>'Сводные данные с индексацией'!V30</f>
        <v>0</v>
      </c>
      <c r="W20" s="28">
        <f>'Сводные данные с индексацией'!W30</f>
        <v>0</v>
      </c>
      <c r="X20" s="28">
        <f>'Сводные данные с индексацией'!X30</f>
        <v>0</v>
      </c>
      <c r="Y20" s="28">
        <f>'Сводные данные с индексацией'!Y30</f>
        <v>0</v>
      </c>
      <c r="Z20" s="28">
        <f>'Сводные данные с индексацией'!Z30</f>
        <v>0</v>
      </c>
      <c r="AA20" s="28">
        <f>'Сводные данные с индексацией'!AA30</f>
        <v>0</v>
      </c>
      <c r="AB20" s="28">
        <f>SUM(C20:AA20)</f>
        <v>44501662.849510811</v>
      </c>
    </row>
    <row r="21" spans="2:28" x14ac:dyDescent="0.25">
      <c r="B21" s="5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2"/>
    </row>
    <row r="22" spans="2:28" x14ac:dyDescent="0.25">
      <c r="B22" s="158" t="s">
        <v>270</v>
      </c>
      <c r="C22" s="159">
        <f>C23+C24</f>
        <v>4000000</v>
      </c>
      <c r="D22" s="159">
        <f t="shared" ref="D22:AA22" si="4">D23+D24</f>
        <v>19500000</v>
      </c>
      <c r="E22" s="159">
        <f t="shared" si="4"/>
        <v>17000000</v>
      </c>
      <c r="F22" s="159">
        <f t="shared" si="4"/>
        <v>6903389</v>
      </c>
      <c r="G22" s="159">
        <f t="shared" si="4"/>
        <v>-19500000</v>
      </c>
      <c r="H22" s="159">
        <f t="shared" si="4"/>
        <v>-24500000</v>
      </c>
      <c r="I22" s="159">
        <f t="shared" si="4"/>
        <v>-3403389</v>
      </c>
      <c r="J22" s="159">
        <f t="shared" si="4"/>
        <v>0</v>
      </c>
      <c r="K22" s="159">
        <f t="shared" si="4"/>
        <v>0</v>
      </c>
      <c r="L22" s="159">
        <f t="shared" si="4"/>
        <v>0</v>
      </c>
      <c r="M22" s="159">
        <f t="shared" si="4"/>
        <v>0</v>
      </c>
      <c r="N22" s="159">
        <f t="shared" si="4"/>
        <v>0</v>
      </c>
      <c r="O22" s="159">
        <f t="shared" si="4"/>
        <v>0</v>
      </c>
      <c r="P22" s="159">
        <f t="shared" si="4"/>
        <v>0</v>
      </c>
      <c r="Q22" s="159">
        <f t="shared" si="4"/>
        <v>0</v>
      </c>
      <c r="R22" s="159">
        <f t="shared" si="4"/>
        <v>0</v>
      </c>
      <c r="S22" s="159">
        <f t="shared" si="4"/>
        <v>0</v>
      </c>
      <c r="T22" s="159">
        <f t="shared" si="4"/>
        <v>0</v>
      </c>
      <c r="U22" s="159">
        <f t="shared" si="4"/>
        <v>0</v>
      </c>
      <c r="V22" s="159">
        <f t="shared" si="4"/>
        <v>0</v>
      </c>
      <c r="W22" s="159">
        <f t="shared" si="4"/>
        <v>0</v>
      </c>
      <c r="X22" s="159">
        <f t="shared" si="4"/>
        <v>0</v>
      </c>
      <c r="Y22" s="159">
        <f t="shared" si="4"/>
        <v>0</v>
      </c>
      <c r="Z22" s="159">
        <f t="shared" si="4"/>
        <v>0</v>
      </c>
      <c r="AA22" s="159">
        <f t="shared" si="4"/>
        <v>0</v>
      </c>
      <c r="AB22" s="160">
        <f>SUM(C22:AA22)</f>
        <v>0</v>
      </c>
    </row>
    <row r="23" spans="2:28" x14ac:dyDescent="0.25">
      <c r="B23" s="18" t="s">
        <v>271</v>
      </c>
      <c r="C23" s="28">
        <f>'Заемные средства'!C6</f>
        <v>4000000</v>
      </c>
      <c r="D23" s="28">
        <f>'Заемные средства'!D6</f>
        <v>19500000</v>
      </c>
      <c r="E23" s="28">
        <f>'Заемные средства'!E6</f>
        <v>17000000</v>
      </c>
      <c r="F23" s="28">
        <f>'Заемные средства'!F6</f>
        <v>6903389</v>
      </c>
      <c r="G23" s="28">
        <f>'Заемные средства'!G6</f>
        <v>0</v>
      </c>
      <c r="H23" s="28">
        <f>'Заемные средства'!H6</f>
        <v>0</v>
      </c>
      <c r="I23" s="28">
        <f>'Заемные средства'!I6</f>
        <v>0</v>
      </c>
      <c r="J23" s="28">
        <f>'Заемные средства'!J6</f>
        <v>0</v>
      </c>
      <c r="K23" s="28">
        <f>'Заемные средства'!K6</f>
        <v>0</v>
      </c>
      <c r="L23" s="28">
        <f>'Заемные средства'!L6</f>
        <v>0</v>
      </c>
      <c r="M23" s="28">
        <f>'Заемные средства'!M6</f>
        <v>0</v>
      </c>
      <c r="N23" s="28">
        <f>'Заемные средства'!N6</f>
        <v>0</v>
      </c>
      <c r="O23" s="28">
        <f>'Заемные средства'!O6</f>
        <v>0</v>
      </c>
      <c r="P23" s="28">
        <f>'Заемные средства'!P6</f>
        <v>0</v>
      </c>
      <c r="Q23" s="28">
        <f>'Заемные средства'!Q6</f>
        <v>0</v>
      </c>
      <c r="R23" s="28">
        <f>'Заемные средства'!R6</f>
        <v>0</v>
      </c>
      <c r="S23" s="28">
        <f>'Заемные средства'!S6</f>
        <v>0</v>
      </c>
      <c r="T23" s="28">
        <f>'Заемные средства'!T6</f>
        <v>0</v>
      </c>
      <c r="U23" s="28">
        <f>'Заемные средства'!U6</f>
        <v>0</v>
      </c>
      <c r="V23" s="28">
        <f>'Заемные средства'!V6</f>
        <v>0</v>
      </c>
      <c r="W23" s="28">
        <f>'Заемные средства'!W6</f>
        <v>0</v>
      </c>
      <c r="X23" s="28">
        <f>'Заемные средства'!X6</f>
        <v>0</v>
      </c>
      <c r="Y23" s="28">
        <f>'Заемные средства'!Y6</f>
        <v>0</v>
      </c>
      <c r="Z23" s="28">
        <f>'Заемные средства'!Z6</f>
        <v>0</v>
      </c>
      <c r="AA23" s="28">
        <f>'Заемные средства'!AA6</f>
        <v>0</v>
      </c>
      <c r="AB23" s="28">
        <f t="shared" ref="AB23:AB24" si="5">SUM(C23:AA23)</f>
        <v>47403389</v>
      </c>
    </row>
    <row r="24" spans="2:28" x14ac:dyDescent="0.25">
      <c r="B24" s="18" t="s">
        <v>272</v>
      </c>
      <c r="C24" s="28">
        <f>-'Заемные средства'!C9</f>
        <v>0</v>
      </c>
      <c r="D24" s="28">
        <f>-'Заемные средства'!D9</f>
        <v>0</v>
      </c>
      <c r="E24" s="28">
        <f>-'Заемные средства'!E9</f>
        <v>0</v>
      </c>
      <c r="F24" s="28">
        <f>-'Заемные средства'!F9</f>
        <v>0</v>
      </c>
      <c r="G24" s="28">
        <f>-'Заемные средства'!G9</f>
        <v>-19500000</v>
      </c>
      <c r="H24" s="28">
        <f>-'Заемные средства'!H9</f>
        <v>-24500000</v>
      </c>
      <c r="I24" s="28">
        <f>-'Заемные средства'!I9</f>
        <v>-3403389</v>
      </c>
      <c r="J24" s="28">
        <f>-'Заемные средства'!J9</f>
        <v>0</v>
      </c>
      <c r="K24" s="28">
        <f>-'Заемные средства'!K9</f>
        <v>0</v>
      </c>
      <c r="L24" s="28">
        <f>-'Заемные средства'!L9</f>
        <v>0</v>
      </c>
      <c r="M24" s="28">
        <f>-'Заемные средства'!M9</f>
        <v>0</v>
      </c>
      <c r="N24" s="28">
        <f>-'Заемные средства'!N9</f>
        <v>0</v>
      </c>
      <c r="O24" s="28">
        <f>-'Заемные средства'!O9</f>
        <v>0</v>
      </c>
      <c r="P24" s="28">
        <f>-'Заемные средства'!P9</f>
        <v>0</v>
      </c>
      <c r="Q24" s="28">
        <f>-'Заемные средства'!Q9</f>
        <v>0</v>
      </c>
      <c r="R24" s="28">
        <f>-'Заемные средства'!R9</f>
        <v>0</v>
      </c>
      <c r="S24" s="28">
        <f>-'Заемные средства'!S9</f>
        <v>0</v>
      </c>
      <c r="T24" s="28">
        <f>-'Заемные средства'!T9</f>
        <v>0</v>
      </c>
      <c r="U24" s="28">
        <f>-'Заемные средства'!U9</f>
        <v>0</v>
      </c>
      <c r="V24" s="28">
        <f>-'Заемные средства'!V9</f>
        <v>0</v>
      </c>
      <c r="W24" s="28">
        <f>-'Заемные средства'!W9</f>
        <v>0</v>
      </c>
      <c r="X24" s="28">
        <f>-'Заемные средства'!X9</f>
        <v>0</v>
      </c>
      <c r="Y24" s="28">
        <f>-'Заемные средства'!Y9</f>
        <v>0</v>
      </c>
      <c r="Z24" s="28">
        <f>-'Заемные средства'!Z9</f>
        <v>0</v>
      </c>
      <c r="AA24" s="28">
        <f>-'Заемные средства'!AA9</f>
        <v>0</v>
      </c>
      <c r="AB24" s="28">
        <f t="shared" si="5"/>
        <v>-47403389</v>
      </c>
    </row>
    <row r="25" spans="2:28" x14ac:dyDescent="0.25">
      <c r="B25" s="163" t="s">
        <v>273</v>
      </c>
      <c r="C25" s="164">
        <f>C10+C18+C22</f>
        <v>2029009.2309675866</v>
      </c>
      <c r="D25" s="164">
        <f>D10+D18+D22</f>
        <v>-158609.34795348719</v>
      </c>
      <c r="E25" s="164">
        <f t="shared" ref="E25:AA25" si="6">E10+E18+E22</f>
        <v>878937.71776808426</v>
      </c>
      <c r="F25" s="164">
        <f>F10+F18+F22</f>
        <v>987466.2171000028</v>
      </c>
      <c r="G25" s="164">
        <f t="shared" si="6"/>
        <v>500000</v>
      </c>
      <c r="H25" s="164">
        <f t="shared" si="6"/>
        <v>1662.8495108112693</v>
      </c>
      <c r="I25" s="164">
        <f t="shared" si="6"/>
        <v>-3403389</v>
      </c>
      <c r="J25" s="164">
        <f t="shared" si="6"/>
        <v>-446093.55588815204</v>
      </c>
      <c r="K25" s="164">
        <f t="shared" si="6"/>
        <v>-4.0927261579781771E-12</v>
      </c>
      <c r="L25" s="164">
        <f t="shared" si="6"/>
        <v>0</v>
      </c>
      <c r="M25" s="164">
        <f t="shared" si="6"/>
        <v>0</v>
      </c>
      <c r="N25" s="164">
        <f t="shared" si="6"/>
        <v>-1120.0044887657086</v>
      </c>
      <c r="O25" s="164">
        <f t="shared" si="6"/>
        <v>0</v>
      </c>
      <c r="P25" s="164">
        <f t="shared" si="6"/>
        <v>0</v>
      </c>
      <c r="Q25" s="164">
        <f t="shared" si="6"/>
        <v>0</v>
      </c>
      <c r="R25" s="164">
        <f t="shared" si="6"/>
        <v>0</v>
      </c>
      <c r="S25" s="164">
        <f t="shared" si="6"/>
        <v>0</v>
      </c>
      <c r="T25" s="164">
        <f t="shared" si="6"/>
        <v>0</v>
      </c>
      <c r="U25" s="164">
        <f t="shared" si="6"/>
        <v>0</v>
      </c>
      <c r="V25" s="164">
        <f t="shared" si="6"/>
        <v>0</v>
      </c>
      <c r="W25" s="164">
        <f t="shared" si="6"/>
        <v>0</v>
      </c>
      <c r="X25" s="164">
        <f t="shared" si="6"/>
        <v>0</v>
      </c>
      <c r="Y25" s="164">
        <f t="shared" si="6"/>
        <v>0</v>
      </c>
      <c r="Z25" s="164">
        <f t="shared" si="6"/>
        <v>0</v>
      </c>
      <c r="AA25" s="164">
        <f t="shared" si="6"/>
        <v>0</v>
      </c>
      <c r="AB25" s="165">
        <f>SUM(C25:AA25)</f>
        <v>387864.10701608023</v>
      </c>
    </row>
    <row r="26" spans="2:28" x14ac:dyDescent="0.25">
      <c r="C26" s="166"/>
    </row>
    <row r="27" spans="2:28" ht="18.75" x14ac:dyDescent="0.3">
      <c r="B27" s="16" t="s">
        <v>274</v>
      </c>
    </row>
    <row r="28" spans="2:28" ht="18.75" x14ac:dyDescent="0.3">
      <c r="B28" s="145" t="s">
        <v>295</v>
      </c>
      <c r="C28" s="27">
        <f>C25</f>
        <v>2029009.2309675866</v>
      </c>
      <c r="D28" s="27">
        <f>C28+D25</f>
        <v>1870399.8830140994</v>
      </c>
      <c r="E28" s="27">
        <f t="shared" ref="E28:AA28" si="7">D28+E25</f>
        <v>2749337.6007821839</v>
      </c>
      <c r="F28" s="27">
        <f t="shared" si="7"/>
        <v>3736803.8178821867</v>
      </c>
      <c r="G28" s="27">
        <f t="shared" si="7"/>
        <v>4236803.8178821867</v>
      </c>
      <c r="H28" s="27">
        <f t="shared" si="7"/>
        <v>4238466.667392998</v>
      </c>
      <c r="I28" s="27">
        <f t="shared" si="7"/>
        <v>835077.667392998</v>
      </c>
      <c r="J28" s="27">
        <f t="shared" si="7"/>
        <v>388984.11150484596</v>
      </c>
      <c r="K28" s="27">
        <f t="shared" si="7"/>
        <v>388984.11150484596</v>
      </c>
      <c r="L28" s="27">
        <f t="shared" si="7"/>
        <v>388984.11150484596</v>
      </c>
      <c r="M28" s="27">
        <f t="shared" si="7"/>
        <v>388984.11150484596</v>
      </c>
      <c r="N28" s="27">
        <f t="shared" si="7"/>
        <v>387864.10701608023</v>
      </c>
      <c r="O28" s="27">
        <f t="shared" si="7"/>
        <v>387864.10701608023</v>
      </c>
      <c r="P28" s="27">
        <f t="shared" si="7"/>
        <v>387864.10701608023</v>
      </c>
      <c r="Q28" s="27">
        <f t="shared" si="7"/>
        <v>387864.10701608023</v>
      </c>
      <c r="R28" s="27">
        <f t="shared" si="7"/>
        <v>387864.10701608023</v>
      </c>
      <c r="S28" s="27">
        <f t="shared" si="7"/>
        <v>387864.10701608023</v>
      </c>
      <c r="T28" s="27">
        <f t="shared" si="7"/>
        <v>387864.10701608023</v>
      </c>
      <c r="U28" s="27">
        <f t="shared" si="7"/>
        <v>387864.10701608023</v>
      </c>
      <c r="V28" s="27">
        <f t="shared" si="7"/>
        <v>387864.10701608023</v>
      </c>
      <c r="W28" s="27">
        <f t="shared" si="7"/>
        <v>387864.10701608023</v>
      </c>
      <c r="X28" s="27">
        <f t="shared" si="7"/>
        <v>387864.10701608023</v>
      </c>
      <c r="Y28" s="27">
        <f t="shared" si="7"/>
        <v>387864.10701608023</v>
      </c>
      <c r="Z28" s="27">
        <f t="shared" si="7"/>
        <v>387864.10701608023</v>
      </c>
      <c r="AA28" s="27">
        <f t="shared" si="7"/>
        <v>387864.10701608023</v>
      </c>
    </row>
    <row r="29" spans="2:28" x14ac:dyDescent="0.25">
      <c r="B29" s="33" t="s">
        <v>297</v>
      </c>
      <c r="C29" s="167">
        <f>C25-C22</f>
        <v>-1970990.7690324134</v>
      </c>
      <c r="D29" s="167">
        <f t="shared" ref="D29:AA29" si="8">D25-D22</f>
        <v>-19658609.347953487</v>
      </c>
      <c r="E29" s="167">
        <f t="shared" si="8"/>
        <v>-16121062.282231916</v>
      </c>
      <c r="F29" s="167">
        <f t="shared" si="8"/>
        <v>-5915922.7828999972</v>
      </c>
      <c r="G29" s="167">
        <f t="shared" si="8"/>
        <v>20000000</v>
      </c>
      <c r="H29" s="167">
        <f t="shared" si="8"/>
        <v>24501662.849510811</v>
      </c>
      <c r="I29" s="167">
        <f t="shared" si="8"/>
        <v>0</v>
      </c>
      <c r="J29" s="167">
        <f t="shared" si="8"/>
        <v>-446093.55588815204</v>
      </c>
      <c r="K29" s="167">
        <f t="shared" si="8"/>
        <v>-4.0927261579781771E-12</v>
      </c>
      <c r="L29" s="167">
        <f t="shared" si="8"/>
        <v>0</v>
      </c>
      <c r="M29" s="167">
        <f t="shared" si="8"/>
        <v>0</v>
      </c>
      <c r="N29" s="167">
        <f t="shared" si="8"/>
        <v>-1120.0044887657086</v>
      </c>
      <c r="O29" s="167">
        <f t="shared" si="8"/>
        <v>0</v>
      </c>
      <c r="P29" s="167">
        <f t="shared" si="8"/>
        <v>0</v>
      </c>
      <c r="Q29" s="167">
        <f t="shared" si="8"/>
        <v>0</v>
      </c>
      <c r="R29" s="167">
        <f t="shared" si="8"/>
        <v>0</v>
      </c>
      <c r="S29" s="167">
        <f t="shared" si="8"/>
        <v>0</v>
      </c>
      <c r="T29" s="167">
        <f t="shared" si="8"/>
        <v>0</v>
      </c>
      <c r="U29" s="167">
        <f t="shared" si="8"/>
        <v>0</v>
      </c>
      <c r="V29" s="167">
        <f t="shared" si="8"/>
        <v>0</v>
      </c>
      <c r="W29" s="167">
        <f t="shared" si="8"/>
        <v>0</v>
      </c>
      <c r="X29" s="167">
        <f t="shared" si="8"/>
        <v>0</v>
      </c>
      <c r="Y29" s="167">
        <f t="shared" si="8"/>
        <v>0</v>
      </c>
      <c r="Z29" s="167">
        <f t="shared" si="8"/>
        <v>0</v>
      </c>
      <c r="AA29" s="167">
        <f t="shared" si="8"/>
        <v>0</v>
      </c>
    </row>
    <row r="30" spans="2:28" x14ac:dyDescent="0.25">
      <c r="B30" s="33" t="s">
        <v>296</v>
      </c>
      <c r="C30" s="167">
        <f>C29</f>
        <v>-1970990.7690324134</v>
      </c>
      <c r="D30" s="167">
        <f>C30+D29</f>
        <v>-21629600.116985902</v>
      </c>
      <c r="E30" s="167">
        <f t="shared" ref="E30:AA30" si="9">D30+E29</f>
        <v>-37750662.399217814</v>
      </c>
      <c r="F30" s="167">
        <f t="shared" si="9"/>
        <v>-43666585.182117812</v>
      </c>
      <c r="G30" s="167">
        <f t="shared" si="9"/>
        <v>-23666585.182117812</v>
      </c>
      <c r="H30" s="167">
        <f t="shared" si="9"/>
        <v>835077.66739299893</v>
      </c>
      <c r="I30" s="167">
        <f t="shared" si="9"/>
        <v>835077.66739299893</v>
      </c>
      <c r="J30" s="167">
        <f t="shared" si="9"/>
        <v>388984.11150484689</v>
      </c>
      <c r="K30" s="167">
        <f t="shared" si="9"/>
        <v>388984.11150484689</v>
      </c>
      <c r="L30" s="167">
        <f t="shared" si="9"/>
        <v>388984.11150484689</v>
      </c>
      <c r="M30" s="167">
        <f t="shared" si="9"/>
        <v>388984.11150484689</v>
      </c>
      <c r="N30" s="167">
        <f t="shared" si="9"/>
        <v>387864.10701608117</v>
      </c>
      <c r="O30" s="167">
        <f t="shared" si="9"/>
        <v>387864.10701608117</v>
      </c>
      <c r="P30" s="167">
        <f t="shared" si="9"/>
        <v>387864.10701608117</v>
      </c>
      <c r="Q30" s="167">
        <f t="shared" si="9"/>
        <v>387864.10701608117</v>
      </c>
      <c r="R30" s="167">
        <f t="shared" si="9"/>
        <v>387864.10701608117</v>
      </c>
      <c r="S30" s="167">
        <f t="shared" si="9"/>
        <v>387864.10701608117</v>
      </c>
      <c r="T30" s="167">
        <f t="shared" si="9"/>
        <v>387864.10701608117</v>
      </c>
      <c r="U30" s="167">
        <f t="shared" si="9"/>
        <v>387864.10701608117</v>
      </c>
      <c r="V30" s="167">
        <f t="shared" si="9"/>
        <v>387864.10701608117</v>
      </c>
      <c r="W30" s="167">
        <f t="shared" si="9"/>
        <v>387864.10701608117</v>
      </c>
      <c r="X30" s="167">
        <f t="shared" si="9"/>
        <v>387864.10701608117</v>
      </c>
      <c r="Y30" s="167">
        <f t="shared" si="9"/>
        <v>387864.10701608117</v>
      </c>
      <c r="Z30" s="167">
        <f t="shared" si="9"/>
        <v>387864.10701608117</v>
      </c>
      <c r="AA30" s="167">
        <f t="shared" si="9"/>
        <v>387864.10701608117</v>
      </c>
    </row>
    <row r="31" spans="2:28" x14ac:dyDescent="0.25">
      <c r="B31" s="33" t="s">
        <v>300</v>
      </c>
      <c r="C31" s="167">
        <f>IF(C30&gt;=0,0,1)</f>
        <v>1</v>
      </c>
      <c r="D31" s="167">
        <f t="shared" ref="D31:AA31" si="10">IF(D30&gt;=0,0,1)</f>
        <v>1</v>
      </c>
      <c r="E31" s="167">
        <f t="shared" si="10"/>
        <v>1</v>
      </c>
      <c r="F31" s="167">
        <f t="shared" si="10"/>
        <v>1</v>
      </c>
      <c r="G31" s="167">
        <f t="shared" si="10"/>
        <v>1</v>
      </c>
      <c r="H31" s="167">
        <f t="shared" si="10"/>
        <v>0</v>
      </c>
      <c r="I31" s="167">
        <f t="shared" si="10"/>
        <v>0</v>
      </c>
      <c r="J31" s="167">
        <f t="shared" si="10"/>
        <v>0</v>
      </c>
      <c r="K31" s="167">
        <f t="shared" si="10"/>
        <v>0</v>
      </c>
      <c r="L31" s="167">
        <f t="shared" si="10"/>
        <v>0</v>
      </c>
      <c r="M31" s="167">
        <f t="shared" si="10"/>
        <v>0</v>
      </c>
      <c r="N31" s="167">
        <f t="shared" si="10"/>
        <v>0</v>
      </c>
      <c r="O31" s="167">
        <f t="shared" si="10"/>
        <v>0</v>
      </c>
      <c r="P31" s="167">
        <f t="shared" si="10"/>
        <v>0</v>
      </c>
      <c r="Q31" s="167">
        <f t="shared" si="10"/>
        <v>0</v>
      </c>
      <c r="R31" s="167">
        <f t="shared" si="10"/>
        <v>0</v>
      </c>
      <c r="S31" s="167">
        <f t="shared" si="10"/>
        <v>0</v>
      </c>
      <c r="T31" s="167">
        <f t="shared" si="10"/>
        <v>0</v>
      </c>
      <c r="U31" s="167">
        <f t="shared" si="10"/>
        <v>0</v>
      </c>
      <c r="V31" s="167">
        <f t="shared" si="10"/>
        <v>0</v>
      </c>
      <c r="W31" s="167">
        <f t="shared" si="10"/>
        <v>0</v>
      </c>
      <c r="X31" s="167">
        <f t="shared" si="10"/>
        <v>0</v>
      </c>
      <c r="Y31" s="167">
        <f t="shared" si="10"/>
        <v>0</v>
      </c>
      <c r="Z31" s="167">
        <f t="shared" si="10"/>
        <v>0</v>
      </c>
      <c r="AA31" s="167">
        <f t="shared" si="10"/>
        <v>0</v>
      </c>
    </row>
    <row r="32" spans="2:28" ht="18.75" x14ac:dyDescent="0.3">
      <c r="B32" s="16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</row>
    <row r="33" spans="2:27" ht="18.75" x14ac:dyDescent="0.3">
      <c r="B33" s="16" t="s">
        <v>275</v>
      </c>
      <c r="C33" s="168">
        <f>AA38</f>
        <v>687365.24927198258</v>
      </c>
    </row>
    <row r="34" spans="2:27" x14ac:dyDescent="0.25">
      <c r="B34" t="s">
        <v>276</v>
      </c>
      <c r="C34" s="169">
        <f>Параметры!C20</f>
        <v>8.2500000000000004E-2</v>
      </c>
    </row>
    <row r="35" spans="2:27" x14ac:dyDescent="0.25">
      <c r="B35" s="29" t="s">
        <v>277</v>
      </c>
      <c r="C35" s="170">
        <f t="shared" ref="C35:AA35" si="11">($C$34+1)^(1/4)-1</f>
        <v>2.0015981411193762E-2</v>
      </c>
      <c r="D35" s="170">
        <f t="shared" si="11"/>
        <v>2.0015981411193762E-2</v>
      </c>
      <c r="E35" s="170">
        <f t="shared" si="11"/>
        <v>2.0015981411193762E-2</v>
      </c>
      <c r="F35" s="170">
        <f t="shared" si="11"/>
        <v>2.0015981411193762E-2</v>
      </c>
      <c r="G35" s="170">
        <f t="shared" si="11"/>
        <v>2.0015981411193762E-2</v>
      </c>
      <c r="H35" s="170">
        <f t="shared" si="11"/>
        <v>2.0015981411193762E-2</v>
      </c>
      <c r="I35" s="170">
        <f t="shared" si="11"/>
        <v>2.0015981411193762E-2</v>
      </c>
      <c r="J35" s="170">
        <f t="shared" si="11"/>
        <v>2.0015981411193762E-2</v>
      </c>
      <c r="K35" s="170">
        <f t="shared" si="11"/>
        <v>2.0015981411193762E-2</v>
      </c>
      <c r="L35" s="170">
        <f t="shared" si="11"/>
        <v>2.0015981411193762E-2</v>
      </c>
      <c r="M35" s="170">
        <f t="shared" si="11"/>
        <v>2.0015981411193762E-2</v>
      </c>
      <c r="N35" s="170">
        <f t="shared" si="11"/>
        <v>2.0015981411193762E-2</v>
      </c>
      <c r="O35" s="170">
        <f t="shared" si="11"/>
        <v>2.0015981411193762E-2</v>
      </c>
      <c r="P35" s="170">
        <f t="shared" si="11"/>
        <v>2.0015981411193762E-2</v>
      </c>
      <c r="Q35" s="170">
        <f t="shared" si="11"/>
        <v>2.0015981411193762E-2</v>
      </c>
      <c r="R35" s="170">
        <f t="shared" si="11"/>
        <v>2.0015981411193762E-2</v>
      </c>
      <c r="S35" s="170">
        <f t="shared" si="11"/>
        <v>2.0015981411193762E-2</v>
      </c>
      <c r="T35" s="170">
        <f t="shared" si="11"/>
        <v>2.0015981411193762E-2</v>
      </c>
      <c r="U35" s="170">
        <f t="shared" si="11"/>
        <v>2.0015981411193762E-2</v>
      </c>
      <c r="V35" s="170">
        <f t="shared" si="11"/>
        <v>2.0015981411193762E-2</v>
      </c>
      <c r="W35" s="170">
        <f t="shared" si="11"/>
        <v>2.0015981411193762E-2</v>
      </c>
      <c r="X35" s="170">
        <f t="shared" si="11"/>
        <v>2.0015981411193762E-2</v>
      </c>
      <c r="Y35" s="170">
        <f t="shared" si="11"/>
        <v>2.0015981411193762E-2</v>
      </c>
      <c r="Z35" s="170">
        <f t="shared" si="11"/>
        <v>2.0015981411193762E-2</v>
      </c>
      <c r="AA35" s="170">
        <f t="shared" si="11"/>
        <v>2.0015981411193762E-2</v>
      </c>
    </row>
    <row r="36" spans="2:27" x14ac:dyDescent="0.25">
      <c r="B36" s="29" t="s">
        <v>278</v>
      </c>
      <c r="C36" s="171">
        <f t="shared" ref="C36:AA36" si="12">1/(1+C35)^C7</f>
        <v>0.98037679626989604</v>
      </c>
      <c r="D36" s="171">
        <f t="shared" si="12"/>
        <v>0.96113866266442538</v>
      </c>
      <c r="E36" s="171">
        <f t="shared" si="12"/>
        <v>0.94227804287408179</v>
      </c>
      <c r="F36" s="171">
        <f t="shared" si="12"/>
        <v>0.92378752886836002</v>
      </c>
      <c r="G36" s="171">
        <f t="shared" si="12"/>
        <v>0.90565985798604698</v>
      </c>
      <c r="H36" s="171">
        <f t="shared" si="12"/>
        <v>0.88788791008260981</v>
      </c>
      <c r="I36" s="171">
        <f t="shared" si="12"/>
        <v>0.87046470473356263</v>
      </c>
      <c r="J36" s="171">
        <f t="shared" si="12"/>
        <v>0.85338339849271116</v>
      </c>
      <c r="K36" s="171">
        <f t="shared" si="12"/>
        <v>0.83663728220420019</v>
      </c>
      <c r="L36" s="171">
        <f t="shared" si="12"/>
        <v>0.82021977836730675</v>
      </c>
      <c r="M36" s="171">
        <f t="shared" si="12"/>
        <v>0.80412443855294446</v>
      </c>
      <c r="N36" s="171">
        <f t="shared" si="12"/>
        <v>0.7883449408708646</v>
      </c>
      <c r="O36" s="171">
        <f t="shared" si="12"/>
        <v>0.77287508748655898</v>
      </c>
      <c r="P36" s="171">
        <f t="shared" si="12"/>
        <v>0.7577088021868883</v>
      </c>
      <c r="Q36" s="171">
        <f t="shared" si="12"/>
        <v>0.74284012799348198</v>
      </c>
      <c r="R36" s="171">
        <f t="shared" si="12"/>
        <v>0.72826322482296946</v>
      </c>
      <c r="S36" s="171">
        <f t="shared" si="12"/>
        <v>0.71397236719312585</v>
      </c>
      <c r="T36" s="171">
        <f t="shared" si="12"/>
        <v>0.69996194197403061</v>
      </c>
      <c r="U36" s="171">
        <f t="shared" si="12"/>
        <v>0.68622644618335504</v>
      </c>
      <c r="V36" s="171">
        <f t="shared" si="12"/>
        <v>0.6727604848249138</v>
      </c>
      <c r="W36" s="171">
        <f t="shared" si="12"/>
        <v>0.65955876876963115</v>
      </c>
      <c r="X36" s="171">
        <f t="shared" si="12"/>
        <v>0.64661611267808816</v>
      </c>
      <c r="Y36" s="171">
        <f t="shared" si="12"/>
        <v>0.63392743296383824</v>
      </c>
      <c r="Z36" s="171">
        <f t="shared" si="12"/>
        <v>0.62148774579668697</v>
      </c>
      <c r="AA36" s="171">
        <f t="shared" si="12"/>
        <v>0.60929216514515561</v>
      </c>
    </row>
    <row r="37" spans="2:27" x14ac:dyDescent="0.25">
      <c r="B37" s="18" t="s">
        <v>279</v>
      </c>
      <c r="C37" s="172">
        <f t="shared" ref="C37:AA37" si="13">C25*C36</f>
        <v>1989193.5694580481</v>
      </c>
      <c r="D37" s="172">
        <f t="shared" si="13"/>
        <v>-152445.57657809119</v>
      </c>
      <c r="E37" s="172">
        <f t="shared" si="13"/>
        <v>828203.71250672254</v>
      </c>
      <c r="F37" s="172">
        <f t="shared" si="13"/>
        <v>912208.9765357991</v>
      </c>
      <c r="G37" s="172">
        <f t="shared" si="13"/>
        <v>452829.92899302347</v>
      </c>
      <c r="H37" s="172">
        <f t="shared" si="13"/>
        <v>1476.4239769361079</v>
      </c>
      <c r="I37" s="172">
        <f t="shared" si="13"/>
        <v>-2962530.0009784549</v>
      </c>
      <c r="J37" s="172">
        <f t="shared" si="13"/>
        <v>-380688.83476952935</v>
      </c>
      <c r="K37" s="172">
        <f t="shared" si="13"/>
        <v>-3.4241272896169001E-12</v>
      </c>
      <c r="L37" s="172">
        <f t="shared" si="13"/>
        <v>0</v>
      </c>
      <c r="M37" s="172">
        <f t="shared" si="13"/>
        <v>0</v>
      </c>
      <c r="N37" s="172">
        <f t="shared" si="13"/>
        <v>-882.94987247110555</v>
      </c>
      <c r="O37" s="172">
        <f t="shared" si="13"/>
        <v>0</v>
      </c>
      <c r="P37" s="172">
        <f t="shared" si="13"/>
        <v>0</v>
      </c>
      <c r="Q37" s="172">
        <f t="shared" si="13"/>
        <v>0</v>
      </c>
      <c r="R37" s="172">
        <f t="shared" si="13"/>
        <v>0</v>
      </c>
      <c r="S37" s="172">
        <f t="shared" si="13"/>
        <v>0</v>
      </c>
      <c r="T37" s="172">
        <f t="shared" si="13"/>
        <v>0</v>
      </c>
      <c r="U37" s="172">
        <f t="shared" si="13"/>
        <v>0</v>
      </c>
      <c r="V37" s="172">
        <f t="shared" si="13"/>
        <v>0</v>
      </c>
      <c r="W37" s="172">
        <f t="shared" si="13"/>
        <v>0</v>
      </c>
      <c r="X37" s="172">
        <f t="shared" si="13"/>
        <v>0</v>
      </c>
      <c r="Y37" s="172">
        <f t="shared" si="13"/>
        <v>0</v>
      </c>
      <c r="Z37" s="172">
        <f t="shared" si="13"/>
        <v>0</v>
      </c>
      <c r="AA37" s="172">
        <f t="shared" si="13"/>
        <v>0</v>
      </c>
    </row>
    <row r="38" spans="2:27" x14ac:dyDescent="0.25">
      <c r="B38" s="18" t="s">
        <v>280</v>
      </c>
      <c r="C38" s="173">
        <f>C37</f>
        <v>1989193.5694580481</v>
      </c>
      <c r="D38" s="173">
        <f>D37+C38</f>
        <v>1836747.992879957</v>
      </c>
      <c r="E38" s="173">
        <f t="shared" ref="E38:AA38" si="14">E37+D38</f>
        <v>2664951.7053866796</v>
      </c>
      <c r="F38" s="173">
        <f t="shared" si="14"/>
        <v>3577160.6819224786</v>
      </c>
      <c r="G38" s="173">
        <f t="shared" si="14"/>
        <v>4029990.6109155021</v>
      </c>
      <c r="H38" s="173">
        <f t="shared" si="14"/>
        <v>4031467.034892438</v>
      </c>
      <c r="I38" s="173">
        <f t="shared" si="14"/>
        <v>1068937.033913983</v>
      </c>
      <c r="J38" s="174">
        <f t="shared" si="14"/>
        <v>688248.19914445374</v>
      </c>
      <c r="K38" s="174">
        <f t="shared" si="14"/>
        <v>688248.19914445374</v>
      </c>
      <c r="L38" s="173">
        <f t="shared" si="14"/>
        <v>688248.19914445374</v>
      </c>
      <c r="M38" s="173">
        <f t="shared" si="14"/>
        <v>688248.19914445374</v>
      </c>
      <c r="N38" s="173">
        <f t="shared" si="14"/>
        <v>687365.24927198258</v>
      </c>
      <c r="O38" s="173">
        <f t="shared" si="14"/>
        <v>687365.24927198258</v>
      </c>
      <c r="P38" s="173">
        <f t="shared" si="14"/>
        <v>687365.24927198258</v>
      </c>
      <c r="Q38" s="173">
        <f t="shared" si="14"/>
        <v>687365.24927198258</v>
      </c>
      <c r="R38" s="173">
        <f t="shared" si="14"/>
        <v>687365.24927198258</v>
      </c>
      <c r="S38" s="173">
        <f t="shared" si="14"/>
        <v>687365.24927198258</v>
      </c>
      <c r="T38" s="173">
        <f t="shared" si="14"/>
        <v>687365.24927198258</v>
      </c>
      <c r="U38" s="173">
        <f t="shared" si="14"/>
        <v>687365.24927198258</v>
      </c>
      <c r="V38" s="173">
        <f t="shared" si="14"/>
        <v>687365.24927198258</v>
      </c>
      <c r="W38" s="173">
        <f t="shared" si="14"/>
        <v>687365.24927198258</v>
      </c>
      <c r="X38" s="173">
        <f t="shared" si="14"/>
        <v>687365.24927198258</v>
      </c>
      <c r="Y38" s="173">
        <f t="shared" si="14"/>
        <v>687365.24927198258</v>
      </c>
      <c r="Z38" s="173">
        <f t="shared" si="14"/>
        <v>687365.24927198258</v>
      </c>
      <c r="AA38" s="173">
        <f t="shared" si="14"/>
        <v>687365.24927198258</v>
      </c>
    </row>
    <row r="39" spans="2:27" x14ac:dyDescent="0.25">
      <c r="B39" s="33" t="s">
        <v>301</v>
      </c>
      <c r="C39" s="167">
        <v>1</v>
      </c>
      <c r="D39" s="167">
        <v>1</v>
      </c>
      <c r="E39" s="167">
        <v>1</v>
      </c>
      <c r="F39" s="167">
        <v>1</v>
      </c>
      <c r="G39" s="167">
        <v>1</v>
      </c>
      <c r="H39" s="167">
        <v>1</v>
      </c>
      <c r="I39" s="167">
        <v>1</v>
      </c>
      <c r="J39" s="167">
        <v>1</v>
      </c>
      <c r="K39" s="167">
        <v>1</v>
      </c>
      <c r="L39" s="167">
        <v>1</v>
      </c>
      <c r="M39" s="167">
        <v>1</v>
      </c>
      <c r="N39" s="167">
        <v>1</v>
      </c>
      <c r="O39" s="167">
        <f t="shared" ref="O39:AA39" si="15">IF(O38&gt;=0,0,1)</f>
        <v>0</v>
      </c>
      <c r="P39" s="167">
        <f t="shared" si="15"/>
        <v>0</v>
      </c>
      <c r="Q39" s="167">
        <f t="shared" si="15"/>
        <v>0</v>
      </c>
      <c r="R39" s="167">
        <f t="shared" si="15"/>
        <v>0</v>
      </c>
      <c r="S39" s="167">
        <f t="shared" si="15"/>
        <v>0</v>
      </c>
      <c r="T39" s="167">
        <f t="shared" si="15"/>
        <v>0</v>
      </c>
      <c r="U39" s="167">
        <f t="shared" si="15"/>
        <v>0</v>
      </c>
      <c r="V39" s="167">
        <f t="shared" si="15"/>
        <v>0</v>
      </c>
      <c r="W39" s="167">
        <f t="shared" si="15"/>
        <v>0</v>
      </c>
      <c r="X39" s="167">
        <f t="shared" si="15"/>
        <v>0</v>
      </c>
      <c r="Y39" s="167">
        <f t="shared" si="15"/>
        <v>0</v>
      </c>
      <c r="Z39" s="167">
        <f t="shared" si="15"/>
        <v>0</v>
      </c>
      <c r="AA39" s="167">
        <f t="shared" si="15"/>
        <v>0</v>
      </c>
    </row>
    <row r="40" spans="2:27" x14ac:dyDescent="0.25"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67"/>
      <c r="V40" s="167"/>
      <c r="W40" s="167"/>
      <c r="X40" s="167"/>
      <c r="Y40" s="167"/>
      <c r="Z40" s="167"/>
      <c r="AA40" s="167"/>
    </row>
    <row r="41" spans="2:27" ht="18.75" x14ac:dyDescent="0.3">
      <c r="B41" s="16" t="s">
        <v>281</v>
      </c>
      <c r="C41" s="152">
        <f>C33/C42</f>
        <v>1.7283610707122726E-2</v>
      </c>
    </row>
    <row r="42" spans="2:27" x14ac:dyDescent="0.25">
      <c r="B42" s="18" t="s">
        <v>282</v>
      </c>
      <c r="C42" s="28">
        <f>-AB19</f>
        <v>39769771.543669023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175"/>
    </row>
    <row r="44" spans="2:27" ht="18.75" x14ac:dyDescent="0.3">
      <c r="B44" s="16" t="s">
        <v>283</v>
      </c>
      <c r="C44" s="188">
        <v>1.2329807949246147E-2</v>
      </c>
      <c r="D44" s="176">
        <f>(1+IRR(C29:AA29,5))^4-1</f>
        <v>1.2140646561124679E-2</v>
      </c>
    </row>
    <row r="45" spans="2:27" x14ac:dyDescent="0.25">
      <c r="B45" s="29" t="s">
        <v>277</v>
      </c>
      <c r="C45" s="170">
        <f t="shared" ref="C45:AA45" si="16">($C$44+1)^(1/4)-1</f>
        <v>3.0683013687777816E-3</v>
      </c>
      <c r="D45" s="170">
        <f t="shared" si="16"/>
        <v>3.0683013687777816E-3</v>
      </c>
      <c r="E45" s="170">
        <f t="shared" si="16"/>
        <v>3.0683013687777816E-3</v>
      </c>
      <c r="F45" s="170">
        <f t="shared" si="16"/>
        <v>3.0683013687777816E-3</v>
      </c>
      <c r="G45" s="170">
        <f t="shared" si="16"/>
        <v>3.0683013687777816E-3</v>
      </c>
      <c r="H45" s="170">
        <f t="shared" si="16"/>
        <v>3.0683013687777816E-3</v>
      </c>
      <c r="I45" s="170">
        <f t="shared" si="16"/>
        <v>3.0683013687777816E-3</v>
      </c>
      <c r="J45" s="170">
        <f t="shared" si="16"/>
        <v>3.0683013687777816E-3</v>
      </c>
      <c r="K45" s="170">
        <f t="shared" si="16"/>
        <v>3.0683013687777816E-3</v>
      </c>
      <c r="L45" s="170">
        <f t="shared" si="16"/>
        <v>3.0683013687777816E-3</v>
      </c>
      <c r="M45" s="170">
        <f t="shared" si="16"/>
        <v>3.0683013687777816E-3</v>
      </c>
      <c r="N45" s="170">
        <f t="shared" si="16"/>
        <v>3.0683013687777816E-3</v>
      </c>
      <c r="O45" s="170">
        <f t="shared" si="16"/>
        <v>3.0683013687777816E-3</v>
      </c>
      <c r="P45" s="170">
        <f t="shared" si="16"/>
        <v>3.0683013687777816E-3</v>
      </c>
      <c r="Q45" s="170">
        <f t="shared" si="16"/>
        <v>3.0683013687777816E-3</v>
      </c>
      <c r="R45" s="170">
        <f t="shared" si="16"/>
        <v>3.0683013687777816E-3</v>
      </c>
      <c r="S45" s="170">
        <f t="shared" si="16"/>
        <v>3.0683013687777816E-3</v>
      </c>
      <c r="T45" s="170">
        <f t="shared" si="16"/>
        <v>3.0683013687777816E-3</v>
      </c>
      <c r="U45" s="170">
        <f t="shared" si="16"/>
        <v>3.0683013687777816E-3</v>
      </c>
      <c r="V45" s="170">
        <f t="shared" si="16"/>
        <v>3.0683013687777816E-3</v>
      </c>
      <c r="W45" s="170">
        <f t="shared" si="16"/>
        <v>3.0683013687777816E-3</v>
      </c>
      <c r="X45" s="170">
        <f t="shared" si="16"/>
        <v>3.0683013687777816E-3</v>
      </c>
      <c r="Y45" s="170">
        <f t="shared" si="16"/>
        <v>3.0683013687777816E-3</v>
      </c>
      <c r="Z45" s="170">
        <f t="shared" si="16"/>
        <v>3.0683013687777816E-3</v>
      </c>
      <c r="AA45" s="170">
        <f t="shared" si="16"/>
        <v>3.0683013687777816E-3</v>
      </c>
    </row>
    <row r="46" spans="2:27" x14ac:dyDescent="0.25">
      <c r="B46" s="29" t="s">
        <v>278</v>
      </c>
      <c r="C46" s="177">
        <f t="shared" ref="C46:AA46" si="17">1/(1+C45)^C7</f>
        <v>0.9969410843064318</v>
      </c>
      <c r="D46" s="177">
        <f t="shared" si="17"/>
        <v>0.99389152557808391</v>
      </c>
      <c r="E46" s="177">
        <f t="shared" si="17"/>
        <v>0.99085129519278881</v>
      </c>
      <c r="F46" s="177">
        <f t="shared" si="17"/>
        <v>0.98782036461593103</v>
      </c>
      <c r="G46" s="177">
        <f t="shared" si="17"/>
        <v>0.984798705400181</v>
      </c>
      <c r="H46" s="177">
        <f t="shared" si="17"/>
        <v>0.98178628918522681</v>
      </c>
      <c r="I46" s="177">
        <f t="shared" si="17"/>
        <v>0.97878308769750799</v>
      </c>
      <c r="J46" s="177">
        <f t="shared" si="17"/>
        <v>0.97578907274995075</v>
      </c>
      <c r="K46" s="177">
        <f t="shared" si="17"/>
        <v>0.97280421624170355</v>
      </c>
      <c r="L46" s="177">
        <f t="shared" si="17"/>
        <v>0.96982849015787265</v>
      </c>
      <c r="M46" s="177">
        <f t="shared" si="17"/>
        <v>0.96686186656925921</v>
      </c>
      <c r="N46" s="177">
        <f t="shared" si="17"/>
        <v>0.96390431763209761</v>
      </c>
      <c r="O46" s="177">
        <f t="shared" si="17"/>
        <v>0.96095581558779475</v>
      </c>
      <c r="P46" s="177">
        <f t="shared" si="17"/>
        <v>0.95801633276266751</v>
      </c>
      <c r="Q46" s="177">
        <f t="shared" si="17"/>
        <v>0.95508584156768528</v>
      </c>
      <c r="R46" s="177">
        <f t="shared" si="17"/>
        <v>0.95216431449820871</v>
      </c>
      <c r="S46" s="177">
        <f t="shared" si="17"/>
        <v>0.9492517241337346</v>
      </c>
      <c r="T46" s="177">
        <f t="shared" si="17"/>
        <v>0.94634804313763521</v>
      </c>
      <c r="U46" s="177">
        <f t="shared" si="17"/>
        <v>0.94345324425690402</v>
      </c>
      <c r="V46" s="177">
        <f t="shared" si="17"/>
        <v>0.9405673003218985</v>
      </c>
      <c r="W46" s="177">
        <f t="shared" si="17"/>
        <v>0.93769018424608686</v>
      </c>
      <c r="X46" s="177">
        <f t="shared" si="17"/>
        <v>0.93482186902579156</v>
      </c>
      <c r="Y46" s="177">
        <f t="shared" si="17"/>
        <v>0.93196232773993781</v>
      </c>
      <c r="Z46" s="177">
        <f t="shared" si="17"/>
        <v>0.9291115335497997</v>
      </c>
      <c r="AA46" s="177">
        <f t="shared" si="17"/>
        <v>0.92626945969874885</v>
      </c>
    </row>
    <row r="47" spans="2:27" x14ac:dyDescent="0.25">
      <c r="B47" s="18" t="s">
        <v>298</v>
      </c>
      <c r="C47" s="178">
        <f t="shared" ref="C47:AA47" si="18">C29*C46</f>
        <v>-1964961.674437142</v>
      </c>
      <c r="D47" s="178">
        <f t="shared" si="18"/>
        <v>-19538525.235581074</v>
      </c>
      <c r="E47" s="178">
        <f t="shared" si="18"/>
        <v>-15973575.44223311</v>
      </c>
      <c r="F47" s="178">
        <f t="shared" si="18"/>
        <v>-5843869.0004439689</v>
      </c>
      <c r="G47" s="178">
        <f t="shared" si="18"/>
        <v>19695974.10800362</v>
      </c>
      <c r="H47" s="178">
        <f t="shared" si="18"/>
        <v>24055396.64788875</v>
      </c>
      <c r="I47" s="178">
        <f t="shared" si="18"/>
        <v>0</v>
      </c>
      <c r="J47" s="178">
        <f t="shared" si="18"/>
        <v>-435293.21725982823</v>
      </c>
      <c r="K47" s="178">
        <f t="shared" si="18"/>
        <v>-3.9814212624038788E-12</v>
      </c>
      <c r="L47" s="178">
        <f t="shared" si="18"/>
        <v>0</v>
      </c>
      <c r="M47" s="178">
        <f t="shared" si="18"/>
        <v>0</v>
      </c>
      <c r="N47" s="178">
        <f t="shared" si="18"/>
        <v>-1079.5771624885967</v>
      </c>
      <c r="O47" s="178">
        <f t="shared" si="18"/>
        <v>0</v>
      </c>
      <c r="P47" s="178">
        <f t="shared" si="18"/>
        <v>0</v>
      </c>
      <c r="Q47" s="178">
        <f t="shared" si="18"/>
        <v>0</v>
      </c>
      <c r="R47" s="178">
        <f t="shared" si="18"/>
        <v>0</v>
      </c>
      <c r="S47" s="178">
        <f t="shared" si="18"/>
        <v>0</v>
      </c>
      <c r="T47" s="178">
        <f t="shared" si="18"/>
        <v>0</v>
      </c>
      <c r="U47" s="178">
        <f t="shared" si="18"/>
        <v>0</v>
      </c>
      <c r="V47" s="178">
        <f t="shared" si="18"/>
        <v>0</v>
      </c>
      <c r="W47" s="178">
        <f t="shared" si="18"/>
        <v>0</v>
      </c>
      <c r="X47" s="178">
        <f t="shared" si="18"/>
        <v>0</v>
      </c>
      <c r="Y47" s="178">
        <f t="shared" si="18"/>
        <v>0</v>
      </c>
      <c r="Z47" s="178">
        <f t="shared" si="18"/>
        <v>0</v>
      </c>
      <c r="AA47" s="178">
        <f t="shared" si="18"/>
        <v>0</v>
      </c>
    </row>
    <row r="48" spans="2:27" x14ac:dyDescent="0.25">
      <c r="B48" s="18" t="s">
        <v>284</v>
      </c>
      <c r="C48" s="28">
        <f>C47</f>
        <v>-1964961.674437142</v>
      </c>
      <c r="D48" s="28">
        <f>C48+D47</f>
        <v>-21503486.910018217</v>
      </c>
      <c r="E48" s="28">
        <f t="shared" ref="E48:Z48" si="19">D48+E47</f>
        <v>-37477062.352251329</v>
      </c>
      <c r="F48" s="28">
        <f t="shared" si="19"/>
        <v>-43320931.352695301</v>
      </c>
      <c r="G48" s="28">
        <f t="shared" si="19"/>
        <v>-23624957.244691681</v>
      </c>
      <c r="H48" s="28">
        <f t="shared" si="19"/>
        <v>430439.40319706872</v>
      </c>
      <c r="I48" s="28">
        <f t="shared" si="19"/>
        <v>430439.40319706872</v>
      </c>
      <c r="J48" s="28">
        <f t="shared" si="19"/>
        <v>-4853.814062759513</v>
      </c>
      <c r="K48" s="28">
        <f t="shared" si="19"/>
        <v>-4853.8140627595167</v>
      </c>
      <c r="L48" s="28">
        <f t="shared" si="19"/>
        <v>-4853.8140627595167</v>
      </c>
      <c r="M48" s="28">
        <f t="shared" si="19"/>
        <v>-4853.8140627595167</v>
      </c>
      <c r="N48" s="28">
        <f t="shared" si="19"/>
        <v>-5933.3912252481132</v>
      </c>
      <c r="O48" s="28">
        <f t="shared" si="19"/>
        <v>-5933.3912252481132</v>
      </c>
      <c r="P48" s="28">
        <f t="shared" si="19"/>
        <v>-5933.3912252481132</v>
      </c>
      <c r="Q48" s="28">
        <f t="shared" si="19"/>
        <v>-5933.3912252481132</v>
      </c>
      <c r="R48" s="28">
        <f t="shared" si="19"/>
        <v>-5933.3912252481132</v>
      </c>
      <c r="S48" s="28">
        <f t="shared" si="19"/>
        <v>-5933.3912252481132</v>
      </c>
      <c r="T48" s="28">
        <f t="shared" si="19"/>
        <v>-5933.3912252481132</v>
      </c>
      <c r="U48" s="28">
        <f t="shared" si="19"/>
        <v>-5933.3912252481132</v>
      </c>
      <c r="V48" s="28">
        <f t="shared" si="19"/>
        <v>-5933.3912252481132</v>
      </c>
      <c r="W48" s="28">
        <f t="shared" si="19"/>
        <v>-5933.3912252481132</v>
      </c>
      <c r="X48" s="28">
        <f t="shared" si="19"/>
        <v>-5933.3912252481132</v>
      </c>
      <c r="Y48" s="28">
        <f t="shared" si="19"/>
        <v>-5933.3912252481132</v>
      </c>
      <c r="Z48" s="28">
        <f t="shared" si="19"/>
        <v>-5933.3912252481132</v>
      </c>
      <c r="AA48" s="28">
        <f>Z48+AA47</f>
        <v>-5933.3912252481132</v>
      </c>
    </row>
    <row r="49" spans="2:14" x14ac:dyDescent="0.25">
      <c r="E49" s="27"/>
    </row>
    <row r="50" spans="2:14" ht="18.75" x14ac:dyDescent="0.3">
      <c r="B50" s="16" t="s">
        <v>285</v>
      </c>
      <c r="C50" s="153">
        <f>C51/C52</f>
        <v>1.0076912472153798</v>
      </c>
    </row>
    <row r="51" spans="2:14" x14ac:dyDescent="0.25">
      <c r="B51" s="18" t="s">
        <v>286</v>
      </c>
      <c r="C51" s="28">
        <f>AB10-AB13+AB18+AB23</f>
        <v>50817150.30139108</v>
      </c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2:14" x14ac:dyDescent="0.25">
      <c r="B52" s="18" t="s">
        <v>287</v>
      </c>
      <c r="C52" s="28">
        <f>-AB13+AB23</f>
        <v>50429286.194375001</v>
      </c>
      <c r="D52" s="27"/>
    </row>
    <row r="54" spans="2:14" ht="18.75" x14ac:dyDescent="0.3">
      <c r="B54" s="16" t="s">
        <v>288</v>
      </c>
      <c r="C54" s="153">
        <f>(SUM(C31:AA31)+1)/4</f>
        <v>1.5</v>
      </c>
      <c r="D54" t="s">
        <v>289</v>
      </c>
    </row>
    <row r="56" spans="2:14" ht="18.75" x14ac:dyDescent="0.3">
      <c r="B56" s="16" t="s">
        <v>290</v>
      </c>
      <c r="C56" s="153">
        <f>(SUM(C39:AA39)+1)/4</f>
        <v>3.25</v>
      </c>
      <c r="D56" t="s">
        <v>289</v>
      </c>
    </row>
    <row r="57" spans="2:14" x14ac:dyDescent="0.25">
      <c r="C57" s="179"/>
    </row>
  </sheetData>
  <hyperlinks>
    <hyperlink ref="A1" location="Структура!A1" display="к содержанию"/>
  </hyperlinks>
  <pageMargins left="0.7" right="0.7" top="0.75" bottom="0.75" header="0.3" footer="0.3"/>
  <pageSetup paperSize="9" orientation="portrait" horizontalDpi="180" verticalDpi="18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6"/>
  <sheetViews>
    <sheetView zoomScale="72" zoomScaleNormal="72" workbookViewId="0">
      <selection activeCell="H9" sqref="H9"/>
    </sheetView>
  </sheetViews>
  <sheetFormatPr defaultRowHeight="15" x14ac:dyDescent="0.25"/>
  <cols>
    <col min="1" max="1" width="8.28515625" customWidth="1"/>
    <col min="2" max="2" width="33" customWidth="1"/>
    <col min="3" max="3" width="41.42578125" customWidth="1"/>
    <col min="4" max="4" width="25" customWidth="1"/>
    <col min="5" max="5" width="23.28515625" customWidth="1"/>
    <col min="6" max="6" width="19.28515625" customWidth="1"/>
  </cols>
  <sheetData>
    <row r="1" spans="1:6" x14ac:dyDescent="0.25">
      <c r="A1" s="1" t="s">
        <v>1</v>
      </c>
    </row>
    <row r="3" spans="1:6" ht="18.75" x14ac:dyDescent="0.3">
      <c r="B3" s="16" t="s">
        <v>414</v>
      </c>
    </row>
    <row r="5" spans="1:6" x14ac:dyDescent="0.25">
      <c r="B5" s="44" t="s">
        <v>413</v>
      </c>
      <c r="C5" s="250"/>
      <c r="D5" s="250"/>
      <c r="E5" s="250"/>
    </row>
    <row r="6" spans="1:6" ht="120" x14ac:dyDescent="0.25">
      <c r="B6" s="249" t="s">
        <v>412</v>
      </c>
      <c r="C6" s="249" t="s">
        <v>411</v>
      </c>
      <c r="D6" s="249" t="s">
        <v>410</v>
      </c>
      <c r="E6" s="248" t="s">
        <v>409</v>
      </c>
    </row>
    <row r="7" spans="1:6" ht="120" x14ac:dyDescent="0.25">
      <c r="B7" s="244" t="s">
        <v>408</v>
      </c>
      <c r="C7" s="244" t="s">
        <v>407</v>
      </c>
      <c r="D7" s="244" t="s">
        <v>406</v>
      </c>
      <c r="E7" s="246" t="s">
        <v>400</v>
      </c>
    </row>
    <row r="8" spans="1:6" ht="90" x14ac:dyDescent="0.25">
      <c r="B8" s="244" t="s">
        <v>405</v>
      </c>
      <c r="C8" s="244" t="s">
        <v>404</v>
      </c>
      <c r="D8" s="244" t="s">
        <v>403</v>
      </c>
      <c r="E8" s="246" t="s">
        <v>400</v>
      </c>
    </row>
    <row r="9" spans="1:6" ht="75" x14ac:dyDescent="0.25">
      <c r="B9" s="244" t="s">
        <v>402</v>
      </c>
      <c r="C9" s="247"/>
      <c r="D9" s="244" t="s">
        <v>401</v>
      </c>
      <c r="E9" s="246" t="s">
        <v>400</v>
      </c>
    </row>
    <row r="11" spans="1:6" x14ac:dyDescent="0.25">
      <c r="B11" s="245" t="s">
        <v>399</v>
      </c>
    </row>
    <row r="12" spans="1:6" ht="45" x14ac:dyDescent="0.25">
      <c r="B12" s="244" t="s">
        <v>398</v>
      </c>
      <c r="C12" s="244" t="s">
        <v>397</v>
      </c>
      <c r="D12" s="244" t="s">
        <v>396</v>
      </c>
      <c r="E12" s="244" t="s">
        <v>395</v>
      </c>
      <c r="F12" s="243" t="s">
        <v>394</v>
      </c>
    </row>
    <row r="13" spans="1:6" ht="30" x14ac:dyDescent="0.25">
      <c r="B13" s="274" t="s">
        <v>393</v>
      </c>
      <c r="C13" s="244" t="s">
        <v>392</v>
      </c>
      <c r="D13" s="242">
        <v>7178</v>
      </c>
      <c r="E13" s="241">
        <v>21</v>
      </c>
      <c r="F13" s="240">
        <f>E13/D13</f>
        <v>2.9256060183895237E-3</v>
      </c>
    </row>
    <row r="14" spans="1:6" ht="126.75" customHeight="1" x14ac:dyDescent="0.25">
      <c r="B14" s="274"/>
      <c r="C14" s="244" t="s">
        <v>391</v>
      </c>
      <c r="D14" s="242">
        <v>8</v>
      </c>
      <c r="E14" s="241">
        <v>1</v>
      </c>
      <c r="F14" s="240">
        <f>E14/D14</f>
        <v>0.125</v>
      </c>
    </row>
    <row r="15" spans="1:6" ht="60" x14ac:dyDescent="0.25">
      <c r="B15" s="274" t="s">
        <v>390</v>
      </c>
      <c r="C15" s="243" t="s">
        <v>389</v>
      </c>
      <c r="D15" s="242">
        <f>81155-70023</f>
        <v>11132</v>
      </c>
      <c r="E15" s="241">
        <v>1000</v>
      </c>
      <c r="F15" s="240">
        <f>E15/D15</f>
        <v>8.9831117499101693E-2</v>
      </c>
    </row>
    <row r="16" spans="1:6" ht="145.5" customHeight="1" x14ac:dyDescent="0.25">
      <c r="B16" s="274"/>
      <c r="C16" s="243" t="s">
        <v>388</v>
      </c>
      <c r="D16" s="242">
        <f>160-145</f>
        <v>15</v>
      </c>
      <c r="E16" s="241">
        <v>1</v>
      </c>
      <c r="F16" s="240">
        <f>E16/D16</f>
        <v>6.6666666666666666E-2</v>
      </c>
    </row>
  </sheetData>
  <mergeCells count="2">
    <mergeCell ref="B13:B14"/>
    <mergeCell ref="B15:B16"/>
  </mergeCells>
  <hyperlinks>
    <hyperlink ref="A1" location="Структура!A1" display="к содержанию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101"/>
  <sheetViews>
    <sheetView tabSelected="1" workbookViewId="0">
      <pane xSplit="5" ySplit="5" topLeftCell="F84" activePane="bottomRight" state="frozen"/>
      <selection activeCell="G39" sqref="G39"/>
      <selection pane="topRight" activeCell="G39" sqref="G39"/>
      <selection pane="bottomLeft" activeCell="G39" sqref="G39"/>
      <selection pane="bottomRight" activeCell="E103" sqref="E103"/>
    </sheetView>
  </sheetViews>
  <sheetFormatPr defaultRowHeight="15" x14ac:dyDescent="0.25"/>
  <cols>
    <col min="1" max="1" width="7.5703125" customWidth="1"/>
    <col min="2" max="2" width="72.140625" customWidth="1"/>
    <col min="3" max="3" width="10.85546875" customWidth="1"/>
    <col min="4" max="4" width="11.42578125" customWidth="1"/>
    <col min="5" max="5" width="9.140625" customWidth="1"/>
    <col min="6" max="6" width="9.5703125" bestFit="1" customWidth="1"/>
    <col min="7" max="11" width="9.85546875" bestFit="1" customWidth="1"/>
    <col min="14" max="14" width="9.85546875" bestFit="1" customWidth="1"/>
  </cols>
  <sheetData>
    <row r="1" spans="1:30" x14ac:dyDescent="0.25">
      <c r="A1" s="1" t="s">
        <v>1</v>
      </c>
    </row>
    <row r="3" spans="1:30" ht="18.75" x14ac:dyDescent="0.3">
      <c r="B3" s="16" t="s">
        <v>442</v>
      </c>
    </row>
    <row r="4" spans="1:30" x14ac:dyDescent="0.25">
      <c r="B4" s="189" t="s">
        <v>328</v>
      </c>
      <c r="F4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30</v>
      </c>
      <c r="L4" t="s">
        <v>31</v>
      </c>
      <c r="M4" t="s">
        <v>32</v>
      </c>
      <c r="N4" t="s">
        <v>33</v>
      </c>
      <c r="O4" t="s">
        <v>34</v>
      </c>
      <c r="P4" t="s">
        <v>35</v>
      </c>
      <c r="Q4" t="s">
        <v>36</v>
      </c>
      <c r="R4" t="s">
        <v>37</v>
      </c>
      <c r="S4" t="s">
        <v>38</v>
      </c>
      <c r="T4" t="s">
        <v>39</v>
      </c>
      <c r="U4" t="s">
        <v>40</v>
      </c>
      <c r="V4" t="s">
        <v>41</v>
      </c>
      <c r="W4" t="s">
        <v>42</v>
      </c>
      <c r="X4" t="s">
        <v>43</v>
      </c>
      <c r="Y4" t="s">
        <v>44</v>
      </c>
      <c r="Z4" t="s">
        <v>45</v>
      </c>
      <c r="AA4" t="s">
        <v>46</v>
      </c>
      <c r="AB4" t="s">
        <v>47</v>
      </c>
      <c r="AC4" t="s">
        <v>48</v>
      </c>
      <c r="AD4" t="s">
        <v>255</v>
      </c>
    </row>
    <row r="5" spans="1:30" x14ac:dyDescent="0.25">
      <c r="B5" s="189" t="s">
        <v>329</v>
      </c>
      <c r="F5" s="156">
        <v>1</v>
      </c>
      <c r="G5" s="156">
        <v>2</v>
      </c>
      <c r="H5" s="156">
        <v>3</v>
      </c>
      <c r="I5" s="156">
        <v>4</v>
      </c>
      <c r="J5" s="156">
        <v>5</v>
      </c>
      <c r="K5" s="156">
        <v>6</v>
      </c>
      <c r="L5" s="156">
        <v>7</v>
      </c>
      <c r="M5" s="156">
        <v>8</v>
      </c>
      <c r="N5" s="156">
        <v>9</v>
      </c>
      <c r="O5" s="156">
        <v>10</v>
      </c>
      <c r="P5" s="156">
        <v>11</v>
      </c>
      <c r="Q5" s="156">
        <v>12</v>
      </c>
      <c r="R5" s="156">
        <v>13</v>
      </c>
      <c r="S5" s="156">
        <v>14</v>
      </c>
      <c r="T5" s="156">
        <v>15</v>
      </c>
      <c r="U5" s="156">
        <v>16</v>
      </c>
      <c r="V5" s="156">
        <v>17</v>
      </c>
      <c r="W5" s="156">
        <v>18</v>
      </c>
      <c r="X5" s="156">
        <v>19</v>
      </c>
      <c r="Y5" s="156">
        <v>20</v>
      </c>
      <c r="Z5" s="156">
        <v>21</v>
      </c>
      <c r="AA5" s="156">
        <v>22</v>
      </c>
      <c r="AB5" s="156">
        <v>23</v>
      </c>
      <c r="AC5" s="156">
        <v>24</v>
      </c>
      <c r="AD5" s="156">
        <v>25</v>
      </c>
    </row>
    <row r="6" spans="1:30" ht="18.75" x14ac:dyDescent="0.3">
      <c r="B6" s="16" t="s">
        <v>330</v>
      </c>
    </row>
    <row r="8" spans="1:30" x14ac:dyDescent="0.25">
      <c r="B8" s="110" t="s">
        <v>331</v>
      </c>
      <c r="C8" s="198">
        <f>SUM(C9:C12)</f>
        <v>44765294.675327972</v>
      </c>
      <c r="F8" s="199">
        <f>SUM(F9:F12)</f>
        <v>0</v>
      </c>
      <c r="G8" s="199">
        <f t="shared" ref="G8:AD8" si="0">SUM(G9:G12)</f>
        <v>0</v>
      </c>
      <c r="H8" s="199">
        <f t="shared" si="0"/>
        <v>0</v>
      </c>
      <c r="I8" s="199">
        <f t="shared" si="0"/>
        <v>0</v>
      </c>
      <c r="J8" s="199">
        <f t="shared" si="0"/>
        <v>20031834.210282151</v>
      </c>
      <c r="K8" s="199">
        <f t="shared" si="0"/>
        <v>24533810.735209037</v>
      </c>
      <c r="L8" s="199">
        <f t="shared" si="0"/>
        <v>32464.651885699437</v>
      </c>
      <c r="M8" s="199">
        <f t="shared" si="0"/>
        <v>32784.539299199983</v>
      </c>
      <c r="N8" s="199">
        <f t="shared" si="0"/>
        <v>33107.578693435644</v>
      </c>
      <c r="O8" s="199">
        <f t="shared" si="0"/>
        <v>33433.801126154052</v>
      </c>
      <c r="P8" s="199">
        <f t="shared" si="0"/>
        <v>33763.237961127423</v>
      </c>
      <c r="Q8" s="199">
        <f t="shared" si="0"/>
        <v>34095.920871167982</v>
      </c>
      <c r="R8" s="199">
        <f t="shared" si="0"/>
        <v>0</v>
      </c>
      <c r="S8" s="199">
        <f t="shared" si="0"/>
        <v>0</v>
      </c>
      <c r="T8" s="199">
        <f t="shared" si="0"/>
        <v>0</v>
      </c>
      <c r="U8" s="199">
        <f t="shared" si="0"/>
        <v>0</v>
      </c>
      <c r="V8" s="199">
        <f t="shared" si="0"/>
        <v>0</v>
      </c>
      <c r="W8" s="199">
        <f t="shared" si="0"/>
        <v>0</v>
      </c>
      <c r="X8" s="199">
        <f t="shared" si="0"/>
        <v>0</v>
      </c>
      <c r="Y8" s="199">
        <f t="shared" si="0"/>
        <v>0</v>
      </c>
      <c r="Z8" s="199">
        <f t="shared" si="0"/>
        <v>0</v>
      </c>
      <c r="AA8" s="199">
        <f t="shared" si="0"/>
        <v>0</v>
      </c>
      <c r="AB8" s="199">
        <f t="shared" si="0"/>
        <v>0</v>
      </c>
      <c r="AC8" s="199">
        <f t="shared" si="0"/>
        <v>0</v>
      </c>
      <c r="AD8" s="199">
        <f t="shared" si="0"/>
        <v>0</v>
      </c>
    </row>
    <row r="9" spans="1:30" x14ac:dyDescent="0.25">
      <c r="B9" s="200" t="s">
        <v>332</v>
      </c>
      <c r="C9" s="201">
        <f t="shared" ref="C9:C11" si="1">SUM(F9:AD9)</f>
        <v>0</v>
      </c>
      <c r="F9" s="202">
        <v>0</v>
      </c>
      <c r="G9" s="202">
        <v>0</v>
      </c>
      <c r="H9" s="202">
        <v>0</v>
      </c>
      <c r="I9" s="202">
        <v>0</v>
      </c>
      <c r="J9" s="202">
        <v>0</v>
      </c>
      <c r="K9" s="202">
        <v>0</v>
      </c>
      <c r="L9" s="202">
        <v>0</v>
      </c>
      <c r="M9" s="202">
        <v>0</v>
      </c>
      <c r="N9" s="202">
        <v>0</v>
      </c>
      <c r="O9" s="202">
        <v>0</v>
      </c>
      <c r="P9" s="202">
        <v>0</v>
      </c>
      <c r="Q9" s="202">
        <v>0</v>
      </c>
      <c r="R9" s="202">
        <v>0</v>
      </c>
      <c r="S9" s="202">
        <v>0</v>
      </c>
      <c r="T9" s="202">
        <v>0</v>
      </c>
      <c r="U9" s="202">
        <v>0</v>
      </c>
      <c r="V9" s="202">
        <v>0</v>
      </c>
      <c r="W9" s="202">
        <v>0</v>
      </c>
      <c r="X9" s="202">
        <v>0</v>
      </c>
      <c r="Y9" s="202">
        <v>0</v>
      </c>
      <c r="Z9" s="202">
        <v>0</v>
      </c>
      <c r="AA9" s="202">
        <v>0</v>
      </c>
      <c r="AB9" s="202">
        <v>0</v>
      </c>
      <c r="AC9" s="202">
        <v>0</v>
      </c>
      <c r="AD9" s="202">
        <v>0</v>
      </c>
    </row>
    <row r="10" spans="1:30" x14ac:dyDescent="0.25">
      <c r="B10" s="200" t="s">
        <v>333</v>
      </c>
      <c r="C10" s="201">
        <f t="shared" si="1"/>
        <v>0</v>
      </c>
      <c r="F10" s="202">
        <v>0</v>
      </c>
      <c r="G10" s="202">
        <v>0</v>
      </c>
      <c r="H10" s="202">
        <v>0</v>
      </c>
      <c r="I10" s="202">
        <v>0</v>
      </c>
      <c r="J10" s="202">
        <v>0</v>
      </c>
      <c r="K10" s="202">
        <v>0</v>
      </c>
      <c r="L10" s="202">
        <v>0</v>
      </c>
      <c r="M10" s="202">
        <v>0</v>
      </c>
      <c r="N10" s="202">
        <v>0</v>
      </c>
      <c r="O10" s="202">
        <v>0</v>
      </c>
      <c r="P10" s="202">
        <v>0</v>
      </c>
      <c r="Q10" s="202">
        <v>0</v>
      </c>
      <c r="R10" s="202">
        <v>0</v>
      </c>
      <c r="S10" s="202">
        <v>0</v>
      </c>
      <c r="T10" s="202">
        <v>0</v>
      </c>
      <c r="U10" s="202">
        <v>0</v>
      </c>
      <c r="V10" s="202">
        <v>0</v>
      </c>
      <c r="W10" s="202">
        <v>0</v>
      </c>
      <c r="X10" s="202">
        <v>0</v>
      </c>
      <c r="Y10" s="202">
        <v>0</v>
      </c>
      <c r="Z10" s="202">
        <v>0</v>
      </c>
      <c r="AA10" s="202">
        <v>0</v>
      </c>
      <c r="AB10" s="202">
        <v>0</v>
      </c>
      <c r="AC10" s="202">
        <v>0</v>
      </c>
      <c r="AD10" s="202">
        <v>0</v>
      </c>
    </row>
    <row r="11" spans="1:30" x14ac:dyDescent="0.25">
      <c r="B11" s="200" t="s">
        <v>334</v>
      </c>
      <c r="C11" s="201">
        <f t="shared" si="1"/>
        <v>263631.82581715926</v>
      </c>
      <c r="F11" s="201">
        <f>'Бюджетное финансирование'!D13</f>
        <v>0</v>
      </c>
      <c r="G11" s="201">
        <f>'Бюджетное финансирование'!E13</f>
        <v>0</v>
      </c>
      <c r="H11" s="201">
        <f>'Бюджетное финансирование'!F13</f>
        <v>0</v>
      </c>
      <c r="I11" s="201">
        <f>'Бюджетное финансирование'!G13</f>
        <v>0</v>
      </c>
      <c r="J11" s="201">
        <f>'Бюджетное финансирование'!H13</f>
        <v>31834.210282149666</v>
      </c>
      <c r="K11" s="201">
        <f>'Бюджетное финансирование'!I13</f>
        <v>32147.885698225055</v>
      </c>
      <c r="L11" s="201">
        <f>'Бюджетное финансирование'!J13</f>
        <v>32464.651885699437</v>
      </c>
      <c r="M11" s="201">
        <f>'Бюджетное финансирование'!K13</f>
        <v>32784.539299199983</v>
      </c>
      <c r="N11" s="201">
        <f>'Бюджетное финансирование'!L13</f>
        <v>33107.578693435644</v>
      </c>
      <c r="O11" s="201">
        <f>'Бюджетное финансирование'!M13</f>
        <v>33433.801126154052</v>
      </c>
      <c r="P11" s="201">
        <f>'Бюджетное финансирование'!N13</f>
        <v>33763.237961127423</v>
      </c>
      <c r="Q11" s="201">
        <f>'Бюджетное финансирование'!O13</f>
        <v>34095.920871167982</v>
      </c>
      <c r="R11" s="201">
        <f>'Бюджетное финансирование'!P13</f>
        <v>0</v>
      </c>
      <c r="S11" s="201">
        <f>'Бюджетное финансирование'!Q13</f>
        <v>0</v>
      </c>
      <c r="T11" s="201">
        <f>'Бюджетное финансирование'!R13</f>
        <v>0</v>
      </c>
      <c r="U11" s="201">
        <f>'Бюджетное финансирование'!S13</f>
        <v>0</v>
      </c>
      <c r="V11" s="201">
        <f>'Бюджетное финансирование'!T13</f>
        <v>0</v>
      </c>
      <c r="W11" s="201">
        <f>'Бюджетное финансирование'!U13</f>
        <v>0</v>
      </c>
      <c r="X11" s="201">
        <f>'Бюджетное финансирование'!V13</f>
        <v>0</v>
      </c>
      <c r="Y11" s="201">
        <f>'Бюджетное финансирование'!W13</f>
        <v>0</v>
      </c>
      <c r="Z11" s="201">
        <f>'Бюджетное финансирование'!X13</f>
        <v>0</v>
      </c>
      <c r="AA11" s="201">
        <f>'Бюджетное финансирование'!Y13</f>
        <v>0</v>
      </c>
      <c r="AB11" s="201">
        <f>'Бюджетное финансирование'!Z13</f>
        <v>0</v>
      </c>
      <c r="AC11" s="201">
        <f>'Бюджетное финансирование'!AA13</f>
        <v>0</v>
      </c>
      <c r="AD11" s="201">
        <f>'Бюджетное финансирование'!AB13</f>
        <v>0</v>
      </c>
    </row>
    <row r="12" spans="1:30" x14ac:dyDescent="0.25">
      <c r="B12" s="200" t="s">
        <v>335</v>
      </c>
      <c r="C12" s="201">
        <f>SUM(F12:AD12)</f>
        <v>44501662.849510811</v>
      </c>
      <c r="F12" s="201">
        <f>'Бюджетное финансирование'!D5</f>
        <v>0</v>
      </c>
      <c r="G12" s="201">
        <f>'Бюджетное финансирование'!E5</f>
        <v>0</v>
      </c>
      <c r="H12" s="201">
        <f>'Бюджетное финансирование'!F5</f>
        <v>0</v>
      </c>
      <c r="I12" s="201">
        <f>'Бюджетное финансирование'!G5</f>
        <v>0</v>
      </c>
      <c r="J12" s="201">
        <f>'Бюджетное финансирование'!H5</f>
        <v>20000000</v>
      </c>
      <c r="K12" s="201">
        <f>'Бюджетное финансирование'!I5</f>
        <v>24501662.849510811</v>
      </c>
      <c r="L12" s="201">
        <f>'Бюджетное финансирование'!J5</f>
        <v>0</v>
      </c>
      <c r="M12" s="201">
        <f>'Бюджетное финансирование'!K5</f>
        <v>0</v>
      </c>
      <c r="N12" s="201">
        <f>'Бюджетное финансирование'!L5</f>
        <v>0</v>
      </c>
      <c r="O12" s="201">
        <f>'Бюджетное финансирование'!M5</f>
        <v>0</v>
      </c>
      <c r="P12" s="201">
        <f>'Бюджетное финансирование'!N5</f>
        <v>0</v>
      </c>
      <c r="Q12" s="201">
        <f>'Бюджетное финансирование'!O5</f>
        <v>0</v>
      </c>
      <c r="R12" s="201">
        <f>'Бюджетное финансирование'!P5</f>
        <v>0</v>
      </c>
      <c r="S12" s="201">
        <f>'Бюджетное финансирование'!Q5</f>
        <v>0</v>
      </c>
      <c r="T12" s="201">
        <f>'Бюджетное финансирование'!R5</f>
        <v>0</v>
      </c>
      <c r="U12" s="201">
        <f>'Бюджетное финансирование'!S5</f>
        <v>0</v>
      </c>
      <c r="V12" s="201">
        <f>'Бюджетное финансирование'!T5</f>
        <v>0</v>
      </c>
      <c r="W12" s="201">
        <f>'Бюджетное финансирование'!U5</f>
        <v>0</v>
      </c>
      <c r="X12" s="201">
        <f>'Бюджетное финансирование'!V5</f>
        <v>0</v>
      </c>
      <c r="Y12" s="201">
        <f>'Бюджетное финансирование'!W5</f>
        <v>0</v>
      </c>
      <c r="Z12" s="201">
        <f>'Бюджетное финансирование'!X5</f>
        <v>0</v>
      </c>
      <c r="AA12" s="201">
        <f>'Бюджетное финансирование'!Y5</f>
        <v>0</v>
      </c>
      <c r="AB12" s="201">
        <f>'Бюджетное финансирование'!Z5</f>
        <v>0</v>
      </c>
      <c r="AC12" s="201">
        <f>'Бюджетное финансирование'!AA5</f>
        <v>0</v>
      </c>
      <c r="AD12" s="201">
        <f>'Бюджетное финансирование'!AB5</f>
        <v>0</v>
      </c>
    </row>
    <row r="14" spans="1:30" x14ac:dyDescent="0.25">
      <c r="B14" s="203" t="s">
        <v>336</v>
      </c>
      <c r="C14" s="204">
        <f>SUM(C15:C16)</f>
        <v>1337640.2895605625</v>
      </c>
      <c r="F14" s="199">
        <f>SUM(F15:F16)</f>
        <v>214947.29758394801</v>
      </c>
      <c r="G14" s="199">
        <f t="shared" ref="G14:AD14" si="2">SUM(G15:G16)</f>
        <v>217065.26069364487</v>
      </c>
      <c r="H14" s="199">
        <f t="shared" si="2"/>
        <v>219204.0929549172</v>
      </c>
      <c r="I14" s="199">
        <f t="shared" si="2"/>
        <v>221363.99999999994</v>
      </c>
      <c r="J14" s="199">
        <f t="shared" si="2"/>
        <v>2154.9590852588294</v>
      </c>
      <c r="K14" s="199">
        <f t="shared" si="2"/>
        <v>2176.1927732222789</v>
      </c>
      <c r="L14" s="199">
        <f t="shared" si="2"/>
        <v>2197.6356853457651</v>
      </c>
      <c r="M14" s="199">
        <f t="shared" si="2"/>
        <v>448312.84577135206</v>
      </c>
      <c r="N14" s="199">
        <f t="shared" si="2"/>
        <v>2241.1574486691811</v>
      </c>
      <c r="O14" s="199">
        <f t="shared" si="2"/>
        <v>2263.2404841511698</v>
      </c>
      <c r="P14" s="199">
        <f t="shared" si="2"/>
        <v>2285.5411127595971</v>
      </c>
      <c r="Q14" s="199">
        <f t="shared" si="2"/>
        <v>3428.0659672937081</v>
      </c>
      <c r="R14" s="199">
        <f t="shared" si="2"/>
        <v>0</v>
      </c>
      <c r="S14" s="199">
        <f t="shared" si="2"/>
        <v>0</v>
      </c>
      <c r="T14" s="199">
        <f t="shared" si="2"/>
        <v>0</v>
      </c>
      <c r="U14" s="199">
        <f t="shared" si="2"/>
        <v>0</v>
      </c>
      <c r="V14" s="199">
        <f t="shared" si="2"/>
        <v>0</v>
      </c>
      <c r="W14" s="199">
        <f t="shared" si="2"/>
        <v>0</v>
      </c>
      <c r="X14" s="199">
        <f t="shared" si="2"/>
        <v>0</v>
      </c>
      <c r="Y14" s="199">
        <f t="shared" si="2"/>
        <v>0</v>
      </c>
      <c r="Z14" s="199">
        <f t="shared" si="2"/>
        <v>0</v>
      </c>
      <c r="AA14" s="199">
        <f t="shared" si="2"/>
        <v>0</v>
      </c>
      <c r="AB14" s="199">
        <f t="shared" si="2"/>
        <v>0</v>
      </c>
      <c r="AC14" s="199">
        <f t="shared" si="2"/>
        <v>0</v>
      </c>
      <c r="AD14" s="199">
        <f t="shared" si="2"/>
        <v>0</v>
      </c>
    </row>
    <row r="15" spans="1:30" x14ac:dyDescent="0.25">
      <c r="B15" s="205" t="s">
        <v>337</v>
      </c>
      <c r="C15" s="201">
        <f>SUM(F15:AD15)</f>
        <v>728863.0910262533</v>
      </c>
      <c r="F15" s="201">
        <f>'Сводные данные с индексацией'!C25*0.13+'Сводные данные с индексацией'!C38+'Сводные данные с индексацией'!C40</f>
        <v>64984.066711426145</v>
      </c>
      <c r="G15" s="201">
        <f>'Сводные данные с индексацией'!D25*0.13+'Сводные данные с индексацией'!D38+'Сводные данные с индексацией'!D40</f>
        <v>65624.381139939142</v>
      </c>
      <c r="H15" s="201">
        <f>'Сводные данные с индексацией'!E25*0.13+'Сводные данные с индексацией'!E38+'Сводные данные с индексацией'!E40</f>
        <v>66271.004846835422</v>
      </c>
      <c r="I15" s="201">
        <f>'Сводные данные с индексацией'!F25*0.13+'Сводные данные с индексацией'!F38+'Сводные данные с индексацией'!F40</f>
        <v>66923.999999999985</v>
      </c>
      <c r="J15" s="201">
        <f>'Сводные данные с индексацией'!G25*0.13+'Сводные данные с индексацией'!G38+'Сводные данные с индексацией'!G40</f>
        <v>2154.9590852588294</v>
      </c>
      <c r="K15" s="201">
        <f>'Сводные данные с индексацией'!H25*0.13+'Сводные данные с индексацией'!H38+'Сводные данные с индексацией'!H40</f>
        <v>2176.1927732222789</v>
      </c>
      <c r="L15" s="201">
        <f>'Сводные данные с индексацией'!I25*0.13+'Сводные данные с индексацией'!I38+'Сводные данные с индексацией'!I40</f>
        <v>2197.6356853457651</v>
      </c>
      <c r="M15" s="201">
        <f>'Сводные данные с индексацией'!J25*0.13+'Сводные данные с индексацией'!J38+'Сводные данные с индексацией'!J40</f>
        <v>448312.84577135206</v>
      </c>
      <c r="N15" s="201">
        <f>'Сводные данные с индексацией'!K25*0.13+'Сводные данные с индексацией'!K38+'Сводные данные с индексацией'!K40</f>
        <v>2241.1574486691811</v>
      </c>
      <c r="O15" s="201">
        <f>'Сводные данные с индексацией'!L25*0.13+'Сводные данные с индексацией'!L38+'Сводные данные с индексацией'!L40</f>
        <v>2263.2404841511698</v>
      </c>
      <c r="P15" s="201">
        <f>'Сводные данные с индексацией'!M25*0.13+'Сводные данные с индексацией'!M38+'Сводные данные с индексацией'!M40</f>
        <v>2285.5411127595971</v>
      </c>
      <c r="Q15" s="201">
        <f>'Сводные данные с индексацией'!N25*0.13+'Сводные данные с индексацией'!N38+'Сводные данные с индексацией'!N40</f>
        <v>3428.0659672937081</v>
      </c>
      <c r="R15" s="201">
        <f>'Сводные данные с индексацией'!O25*0.13+'Сводные данные с индексацией'!O38+'Сводные данные с индексацией'!O40</f>
        <v>0</v>
      </c>
      <c r="S15" s="201">
        <f>'Сводные данные с индексацией'!P25*0.13+'Сводные данные с индексацией'!P38+'Сводные данные с индексацией'!P40</f>
        <v>0</v>
      </c>
      <c r="T15" s="201">
        <f>'Сводные данные с индексацией'!Q25*0.13+'Сводные данные с индексацией'!Q38+'Сводные данные с индексацией'!Q40</f>
        <v>0</v>
      </c>
      <c r="U15" s="201">
        <f>'Сводные данные с индексацией'!R25*0.13+'Сводные данные с индексацией'!R38+'Сводные данные с индексацией'!R40</f>
        <v>0</v>
      </c>
      <c r="V15" s="201">
        <f>'Сводные данные с индексацией'!S25*0.13+'Сводные данные с индексацией'!S38+'Сводные данные с индексацией'!S40</f>
        <v>0</v>
      </c>
      <c r="W15" s="201">
        <f>'Сводные данные с индексацией'!T25*0.13+'Сводные данные с индексацией'!T38+'Сводные данные с индексацией'!T40</f>
        <v>0</v>
      </c>
      <c r="X15" s="201">
        <f>'Сводные данные с индексацией'!U25*0.13+'Сводные данные с индексацией'!U38+'Сводные данные с индексацией'!U40</f>
        <v>0</v>
      </c>
      <c r="Y15" s="201">
        <f>'Сводные данные с индексацией'!V25*0.13+'Сводные данные с индексацией'!V38+'Сводные данные с индексацией'!V40</f>
        <v>0</v>
      </c>
      <c r="Z15" s="201">
        <f>'Сводные данные с индексацией'!W25*0.13+'Сводные данные с индексацией'!W38+'Сводные данные с индексацией'!W40</f>
        <v>0</v>
      </c>
      <c r="AA15" s="201">
        <f>'Сводные данные с индексацией'!X25*0.13+'Сводные данные с индексацией'!X38+'Сводные данные с индексацией'!X40</f>
        <v>0</v>
      </c>
      <c r="AB15" s="201">
        <f>'Сводные данные с индексацией'!Y25*0.13+'Сводные данные с индексацией'!Y38+'Сводные данные с индексацией'!Y40</f>
        <v>0</v>
      </c>
      <c r="AC15" s="201">
        <f>'Сводные данные с индексацией'!Z25*0.13+'Сводные данные с индексацией'!Z38+'Сводные данные с индексацией'!Z40</f>
        <v>0</v>
      </c>
      <c r="AD15" s="201">
        <f>'Сводные данные с индексацией'!AA25*0.13+'Сводные данные с индексацией'!AA38+'Сводные данные с индексацией'!AA40</f>
        <v>0</v>
      </c>
    </row>
    <row r="16" spans="1:30" x14ac:dyDescent="0.25">
      <c r="B16" s="205" t="s">
        <v>338</v>
      </c>
      <c r="C16" s="201">
        <f>SUM(F16:AD16)</f>
        <v>608777.19853430928</v>
      </c>
      <c r="F16" s="201">
        <f>'Сводные данные с индексацией'!C26</f>
        <v>149963.23087252188</v>
      </c>
      <c r="G16" s="201">
        <f>'Сводные данные с индексацией'!D26</f>
        <v>151440.87955370572</v>
      </c>
      <c r="H16" s="201">
        <f>'Сводные данные с индексацией'!E26</f>
        <v>152933.08810808178</v>
      </c>
      <c r="I16" s="201">
        <f>'Сводные данные с индексацией'!F26</f>
        <v>154439.99999999997</v>
      </c>
      <c r="J16" s="201">
        <f>'Сводные данные с индексацией'!G26</f>
        <v>0</v>
      </c>
      <c r="K16" s="201">
        <f>'Сводные данные с индексацией'!H26</f>
        <v>0</v>
      </c>
      <c r="L16" s="201">
        <f>'Сводные данные с индексацией'!I26</f>
        <v>0</v>
      </c>
      <c r="M16" s="201">
        <f>'Сводные данные с индексацией'!J26</f>
        <v>0</v>
      </c>
      <c r="N16" s="201">
        <f>'Сводные данные с индексацией'!K26</f>
        <v>0</v>
      </c>
      <c r="O16" s="201">
        <f>'Сводные данные с индексацией'!L26</f>
        <v>0</v>
      </c>
      <c r="P16" s="201">
        <f>'Сводные данные с индексацией'!M26</f>
        <v>0</v>
      </c>
      <c r="Q16" s="201">
        <f>'Сводные данные с индексацией'!N26</f>
        <v>0</v>
      </c>
      <c r="R16" s="201">
        <f>'Сводные данные с индексацией'!O26</f>
        <v>0</v>
      </c>
      <c r="S16" s="201">
        <f>'Сводные данные с индексацией'!P26</f>
        <v>0</v>
      </c>
      <c r="T16" s="201">
        <f>'Сводные данные с индексацией'!Q26</f>
        <v>0</v>
      </c>
      <c r="U16" s="201">
        <f>'Сводные данные с индексацией'!R26</f>
        <v>0</v>
      </c>
      <c r="V16" s="201">
        <f>'Сводные данные с индексацией'!S26</f>
        <v>0</v>
      </c>
      <c r="W16" s="201">
        <f>'Сводные данные с индексацией'!T26</f>
        <v>0</v>
      </c>
      <c r="X16" s="201">
        <f>'Сводные данные с индексацией'!U26</f>
        <v>0</v>
      </c>
      <c r="Y16" s="201">
        <f>'Сводные данные с индексацией'!V26</f>
        <v>0</v>
      </c>
      <c r="Z16" s="201">
        <f>'Сводные данные с индексацией'!W26</f>
        <v>0</v>
      </c>
      <c r="AA16" s="201">
        <f>'Сводные данные с индексацией'!X26</f>
        <v>0</v>
      </c>
      <c r="AB16" s="201">
        <f>'Сводные данные с индексацией'!Y26</f>
        <v>0</v>
      </c>
      <c r="AC16" s="201">
        <f>'Сводные данные с индексацией'!Z26</f>
        <v>0</v>
      </c>
      <c r="AD16" s="201">
        <f>'Сводные данные с индексацией'!AA26</f>
        <v>0</v>
      </c>
    </row>
    <row r="18" spans="2:30" x14ac:dyDescent="0.25">
      <c r="B18" s="206" t="s">
        <v>381</v>
      </c>
      <c r="C18" s="207" t="s">
        <v>382</v>
      </c>
      <c r="D18" s="208" t="s">
        <v>339</v>
      </c>
      <c r="E18" s="208" t="s">
        <v>340</v>
      </c>
    </row>
    <row r="19" spans="2:30" x14ac:dyDescent="0.25">
      <c r="B19" s="207" t="s">
        <v>341</v>
      </c>
      <c r="C19" s="209">
        <v>0.12</v>
      </c>
      <c r="D19" s="210">
        <v>7.0000000000000007E-2</v>
      </c>
      <c r="E19" s="210">
        <v>0.15</v>
      </c>
    </row>
    <row r="20" spans="2:30" x14ac:dyDescent="0.25">
      <c r="B20" s="207" t="s">
        <v>342</v>
      </c>
      <c r="C20" s="209">
        <v>7.0000000000000007E-2</v>
      </c>
      <c r="D20" s="210">
        <v>0.05</v>
      </c>
      <c r="E20" s="210">
        <v>0.12</v>
      </c>
    </row>
    <row r="21" spans="2:30" x14ac:dyDescent="0.25">
      <c r="B21" s="207" t="s">
        <v>343</v>
      </c>
      <c r="C21" s="209">
        <v>0.15</v>
      </c>
      <c r="D21" s="210">
        <v>0.15</v>
      </c>
      <c r="E21" s="210">
        <v>0.25</v>
      </c>
    </row>
    <row r="22" spans="2:30" x14ac:dyDescent="0.25">
      <c r="B22" s="207" t="s">
        <v>344</v>
      </c>
      <c r="C22" s="209">
        <v>0.22</v>
      </c>
      <c r="D22" s="210">
        <v>0.2</v>
      </c>
      <c r="E22" s="210">
        <v>0.4</v>
      </c>
    </row>
    <row r="23" spans="2:30" x14ac:dyDescent="0.25">
      <c r="B23" s="207" t="s">
        <v>345</v>
      </c>
      <c r="C23" s="209">
        <v>0.06</v>
      </c>
      <c r="D23" s="210">
        <v>0.05</v>
      </c>
      <c r="E23" s="210">
        <v>0.1</v>
      </c>
    </row>
    <row r="24" spans="2:30" x14ac:dyDescent="0.25">
      <c r="B24" s="207"/>
      <c r="D24" s="217"/>
      <c r="E24" s="217"/>
    </row>
    <row r="25" spans="2:30" x14ac:dyDescent="0.25">
      <c r="B25" s="206" t="s">
        <v>383</v>
      </c>
      <c r="C25" t="s">
        <v>384</v>
      </c>
      <c r="D25" s="227" t="s">
        <v>385</v>
      </c>
      <c r="E25" s="217"/>
    </row>
    <row r="26" spans="2:30" x14ac:dyDescent="0.25">
      <c r="B26" s="207" t="s">
        <v>341</v>
      </c>
      <c r="C26" s="23">
        <f>'Общие показатели проекта'!C9/'Общие показатели проекта'!C7</f>
        <v>5.5650828145915467E-2</v>
      </c>
      <c r="D26" s="210">
        <f>'Общие показатели проекта'!C8/'Общие показатели проекта'!C7</f>
        <v>0.94434917185408451</v>
      </c>
      <c r="E26" s="217"/>
    </row>
    <row r="27" spans="2:30" x14ac:dyDescent="0.25">
      <c r="B27" s="207" t="s">
        <v>342</v>
      </c>
      <c r="C27" s="23">
        <f>C$26</f>
        <v>5.5650828145915467E-2</v>
      </c>
      <c r="D27" s="210">
        <f>D$26</f>
        <v>0.94434917185408451</v>
      </c>
      <c r="E27" s="217"/>
    </row>
    <row r="28" spans="2:30" x14ac:dyDescent="0.25">
      <c r="B28" s="207" t="s">
        <v>343</v>
      </c>
      <c r="C28" s="23">
        <f t="shared" ref="C28:D30" si="3">C$26</f>
        <v>5.5650828145915467E-2</v>
      </c>
      <c r="D28" s="210">
        <f t="shared" si="3"/>
        <v>0.94434917185408451</v>
      </c>
      <c r="E28" s="217"/>
    </row>
    <row r="29" spans="2:30" x14ac:dyDescent="0.25">
      <c r="B29" s="207" t="s">
        <v>344</v>
      </c>
      <c r="C29" s="23">
        <f t="shared" si="3"/>
        <v>5.5650828145915467E-2</v>
      </c>
      <c r="D29" s="210">
        <f t="shared" si="3"/>
        <v>0.94434917185408451</v>
      </c>
      <c r="E29" s="217"/>
    </row>
    <row r="30" spans="2:30" x14ac:dyDescent="0.25">
      <c r="B30" s="207" t="s">
        <v>345</v>
      </c>
      <c r="C30" s="23">
        <f t="shared" si="3"/>
        <v>5.5650828145915467E-2</v>
      </c>
      <c r="D30" s="210">
        <f t="shared" si="3"/>
        <v>0.94434917185408451</v>
      </c>
      <c r="E30" s="217"/>
    </row>
    <row r="32" spans="2:30" x14ac:dyDescent="0.25">
      <c r="B32" s="211" t="s">
        <v>346</v>
      </c>
      <c r="C32" s="204">
        <f>SUM(C33:C37)</f>
        <v>2613621.8911462938</v>
      </c>
      <c r="F32" s="199">
        <f>SUM(F33:F37)</f>
        <v>0</v>
      </c>
      <c r="G32" s="199">
        <f t="shared" ref="G32:AD32" si="4">SUM(G33:G37)</f>
        <v>0</v>
      </c>
      <c r="H32" s="199">
        <f t="shared" si="4"/>
        <v>0</v>
      </c>
      <c r="I32" s="199">
        <f t="shared" si="4"/>
        <v>0</v>
      </c>
      <c r="J32" s="199">
        <f t="shared" si="4"/>
        <v>1144342.1719680349</v>
      </c>
      <c r="K32" s="199">
        <f t="shared" si="4"/>
        <v>1399520.2680763234</v>
      </c>
      <c r="L32" s="199">
        <f t="shared" si="4"/>
        <v>11343.44783543282</v>
      </c>
      <c r="M32" s="199">
        <f t="shared" si="4"/>
        <v>11455.21943862236</v>
      </c>
      <c r="N32" s="199">
        <f t="shared" si="4"/>
        <v>11568.092372858757</v>
      </c>
      <c r="O32" s="199">
        <f t="shared" si="4"/>
        <v>11682.077490004562</v>
      </c>
      <c r="P32" s="199">
        <f t="shared" si="4"/>
        <v>11797.185748850137</v>
      </c>
      <c r="Q32" s="199">
        <f t="shared" si="4"/>
        <v>11913.428216167256</v>
      </c>
      <c r="R32" s="199">
        <f t="shared" si="4"/>
        <v>0</v>
      </c>
      <c r="S32" s="199">
        <f t="shared" si="4"/>
        <v>0</v>
      </c>
      <c r="T32" s="199">
        <f t="shared" si="4"/>
        <v>0</v>
      </c>
      <c r="U32" s="199">
        <f t="shared" si="4"/>
        <v>0</v>
      </c>
      <c r="V32" s="199">
        <f t="shared" si="4"/>
        <v>0</v>
      </c>
      <c r="W32" s="199">
        <f t="shared" si="4"/>
        <v>0</v>
      </c>
      <c r="X32" s="199">
        <f t="shared" si="4"/>
        <v>0</v>
      </c>
      <c r="Y32" s="199">
        <f t="shared" si="4"/>
        <v>0</v>
      </c>
      <c r="Z32" s="199">
        <f t="shared" si="4"/>
        <v>0</v>
      </c>
      <c r="AA32" s="199">
        <f t="shared" si="4"/>
        <v>0</v>
      </c>
      <c r="AB32" s="199">
        <f t="shared" si="4"/>
        <v>0</v>
      </c>
      <c r="AC32" s="199">
        <f t="shared" si="4"/>
        <v>0</v>
      </c>
      <c r="AD32" s="199">
        <f t="shared" si="4"/>
        <v>0</v>
      </c>
    </row>
    <row r="33" spans="2:30" x14ac:dyDescent="0.25">
      <c r="B33" s="207" t="s">
        <v>332</v>
      </c>
      <c r="C33" s="201">
        <f>SUM(F33:AD33)</f>
        <v>0</v>
      </c>
      <c r="F33" s="201">
        <f>F9*$C19*$D26</f>
        <v>0</v>
      </c>
      <c r="G33" s="201">
        <f t="shared" ref="G33:AD33" si="5">G9*$C19*$D26</f>
        <v>0</v>
      </c>
      <c r="H33" s="201">
        <f t="shared" si="5"/>
        <v>0</v>
      </c>
      <c r="I33" s="201">
        <f t="shared" si="5"/>
        <v>0</v>
      </c>
      <c r="J33" s="201">
        <f t="shared" si="5"/>
        <v>0</v>
      </c>
      <c r="K33" s="201">
        <f t="shared" si="5"/>
        <v>0</v>
      </c>
      <c r="L33" s="201">
        <f t="shared" si="5"/>
        <v>0</v>
      </c>
      <c r="M33" s="201">
        <f t="shared" si="5"/>
        <v>0</v>
      </c>
      <c r="N33" s="201">
        <f t="shared" si="5"/>
        <v>0</v>
      </c>
      <c r="O33" s="201">
        <f t="shared" si="5"/>
        <v>0</v>
      </c>
      <c r="P33" s="201">
        <f t="shared" si="5"/>
        <v>0</v>
      </c>
      <c r="Q33" s="201">
        <f t="shared" si="5"/>
        <v>0</v>
      </c>
      <c r="R33" s="201">
        <f t="shared" si="5"/>
        <v>0</v>
      </c>
      <c r="S33" s="201">
        <f t="shared" si="5"/>
        <v>0</v>
      </c>
      <c r="T33" s="201">
        <f t="shared" si="5"/>
        <v>0</v>
      </c>
      <c r="U33" s="201">
        <f t="shared" si="5"/>
        <v>0</v>
      </c>
      <c r="V33" s="201">
        <f t="shared" si="5"/>
        <v>0</v>
      </c>
      <c r="W33" s="201">
        <f t="shared" si="5"/>
        <v>0</v>
      </c>
      <c r="X33" s="201">
        <f t="shared" si="5"/>
        <v>0</v>
      </c>
      <c r="Y33" s="201">
        <f t="shared" si="5"/>
        <v>0</v>
      </c>
      <c r="Z33" s="201">
        <f t="shared" si="5"/>
        <v>0</v>
      </c>
      <c r="AA33" s="201">
        <f t="shared" si="5"/>
        <v>0</v>
      </c>
      <c r="AB33" s="201">
        <f t="shared" si="5"/>
        <v>0</v>
      </c>
      <c r="AC33" s="201">
        <f t="shared" si="5"/>
        <v>0</v>
      </c>
      <c r="AD33" s="201">
        <f t="shared" si="5"/>
        <v>0</v>
      </c>
    </row>
    <row r="34" spans="2:30" x14ac:dyDescent="0.25">
      <c r="B34" s="207" t="s">
        <v>333</v>
      </c>
      <c r="C34" s="201">
        <f t="shared" ref="C34:C36" si="6">SUM(F34:AD34)</f>
        <v>0</v>
      </c>
      <c r="F34" s="201">
        <f>F10*$C20*$D27</f>
        <v>0</v>
      </c>
      <c r="G34" s="201">
        <f t="shared" ref="G34:AD34" si="7">G10*$C20*$D27</f>
        <v>0</v>
      </c>
      <c r="H34" s="201">
        <f t="shared" si="7"/>
        <v>0</v>
      </c>
      <c r="I34" s="201">
        <f t="shared" si="7"/>
        <v>0</v>
      </c>
      <c r="J34" s="201">
        <f t="shared" si="7"/>
        <v>0</v>
      </c>
      <c r="K34" s="201">
        <f t="shared" si="7"/>
        <v>0</v>
      </c>
      <c r="L34" s="201">
        <f t="shared" si="7"/>
        <v>0</v>
      </c>
      <c r="M34" s="201">
        <f t="shared" si="7"/>
        <v>0</v>
      </c>
      <c r="N34" s="201">
        <f t="shared" si="7"/>
        <v>0</v>
      </c>
      <c r="O34" s="201">
        <f t="shared" si="7"/>
        <v>0</v>
      </c>
      <c r="P34" s="201">
        <f t="shared" si="7"/>
        <v>0</v>
      </c>
      <c r="Q34" s="201">
        <f t="shared" si="7"/>
        <v>0</v>
      </c>
      <c r="R34" s="201">
        <f t="shared" si="7"/>
        <v>0</v>
      </c>
      <c r="S34" s="201">
        <f t="shared" si="7"/>
        <v>0</v>
      </c>
      <c r="T34" s="201">
        <f t="shared" si="7"/>
        <v>0</v>
      </c>
      <c r="U34" s="201">
        <f t="shared" si="7"/>
        <v>0</v>
      </c>
      <c r="V34" s="201">
        <f t="shared" si="7"/>
        <v>0</v>
      </c>
      <c r="W34" s="201">
        <f t="shared" si="7"/>
        <v>0</v>
      </c>
      <c r="X34" s="201">
        <f t="shared" si="7"/>
        <v>0</v>
      </c>
      <c r="Y34" s="201">
        <f t="shared" si="7"/>
        <v>0</v>
      </c>
      <c r="Z34" s="201">
        <f t="shared" si="7"/>
        <v>0</v>
      </c>
      <c r="AA34" s="201">
        <f t="shared" si="7"/>
        <v>0</v>
      </c>
      <c r="AB34" s="201">
        <f t="shared" si="7"/>
        <v>0</v>
      </c>
      <c r="AC34" s="201">
        <f t="shared" si="7"/>
        <v>0</v>
      </c>
      <c r="AD34" s="201">
        <f t="shared" si="7"/>
        <v>0</v>
      </c>
    </row>
    <row r="35" spans="2:30" x14ac:dyDescent="0.25">
      <c r="B35" s="207" t="s">
        <v>334</v>
      </c>
      <c r="C35" s="201">
        <f t="shared" si="6"/>
        <v>37344.074457722185</v>
      </c>
      <c r="F35" s="201">
        <f>F11*$C21*$D28</f>
        <v>0</v>
      </c>
      <c r="G35" s="201">
        <f t="shared" ref="G35:AD35" si="8">G11*$C21*$D28</f>
        <v>0</v>
      </c>
      <c r="H35" s="201">
        <f t="shared" si="8"/>
        <v>0</v>
      </c>
      <c r="I35" s="201">
        <f t="shared" si="8"/>
        <v>0</v>
      </c>
      <c r="J35" s="201">
        <f t="shared" si="8"/>
        <v>4509.3915174865224</v>
      </c>
      <c r="K35" s="201">
        <f t="shared" si="8"/>
        <v>4553.8243853967897</v>
      </c>
      <c r="L35" s="201">
        <f t="shared" si="8"/>
        <v>4598.6950684187104</v>
      </c>
      <c r="M35" s="201">
        <f t="shared" si="8"/>
        <v>4644.0078805225785</v>
      </c>
      <c r="N35" s="201">
        <f t="shared" si="8"/>
        <v>4689.7671781859826</v>
      </c>
      <c r="O35" s="201">
        <f t="shared" si="8"/>
        <v>4735.9773608126598</v>
      </c>
      <c r="P35" s="201">
        <f t="shared" si="8"/>
        <v>4782.6428711554609</v>
      </c>
      <c r="Q35" s="201">
        <f t="shared" si="8"/>
        <v>4829.7681957434816</v>
      </c>
      <c r="R35" s="201">
        <f t="shared" si="8"/>
        <v>0</v>
      </c>
      <c r="S35" s="201">
        <f t="shared" si="8"/>
        <v>0</v>
      </c>
      <c r="T35" s="201">
        <f t="shared" si="8"/>
        <v>0</v>
      </c>
      <c r="U35" s="201">
        <f t="shared" si="8"/>
        <v>0</v>
      </c>
      <c r="V35" s="201">
        <f t="shared" si="8"/>
        <v>0</v>
      </c>
      <c r="W35" s="201">
        <f t="shared" si="8"/>
        <v>0</v>
      </c>
      <c r="X35" s="201">
        <f t="shared" si="8"/>
        <v>0</v>
      </c>
      <c r="Y35" s="201">
        <f t="shared" si="8"/>
        <v>0</v>
      </c>
      <c r="Z35" s="201">
        <f t="shared" si="8"/>
        <v>0</v>
      </c>
      <c r="AA35" s="201">
        <f t="shared" si="8"/>
        <v>0</v>
      </c>
      <c r="AB35" s="201">
        <f t="shared" si="8"/>
        <v>0</v>
      </c>
      <c r="AC35" s="201">
        <f t="shared" si="8"/>
        <v>0</v>
      </c>
      <c r="AD35" s="201">
        <f t="shared" si="8"/>
        <v>0</v>
      </c>
    </row>
    <row r="36" spans="2:30" x14ac:dyDescent="0.25">
      <c r="B36" s="207" t="s">
        <v>347</v>
      </c>
      <c r="C36" s="201">
        <f t="shared" si="6"/>
        <v>54771.309204659206</v>
      </c>
      <c r="F36" s="201">
        <f>'Сводные данные с индексацией'!C31*'Сравнительное преимущество'!$C22*$D29</f>
        <v>0</v>
      </c>
      <c r="G36" s="201">
        <f>'Сводные данные с индексацией'!D31*'Сравнительное преимущество'!$C22*$D29</f>
        <v>0</v>
      </c>
      <c r="H36" s="201">
        <f>'Сводные данные с индексацией'!E31*'Сравнительное преимущество'!$C22*$D29</f>
        <v>0</v>
      </c>
      <c r="I36" s="201">
        <f>'Сводные данные с индексацией'!F31*'Сравнительное преимущество'!$C22*$D29</f>
        <v>0</v>
      </c>
      <c r="J36" s="201">
        <f>'Сводные данные с индексацией'!G31*'Сравнительное преимущество'!$C22*$D29</f>
        <v>6613.7742256469</v>
      </c>
      <c r="K36" s="201">
        <f>'Сводные данные с индексацией'!H31*'Сравнительное преимущество'!$C22*$D29</f>
        <v>6678.9424319152913</v>
      </c>
      <c r="L36" s="201">
        <f>'Сводные данные с индексацией'!I31*'Сравнительное преимущество'!$C22*$D29</f>
        <v>6744.7527670141098</v>
      </c>
      <c r="M36" s="201">
        <f>'Сводные данные с индексацией'!J31*'Сравнительное преимущество'!$C22*$D29</f>
        <v>6811.2115580997825</v>
      </c>
      <c r="N36" s="201">
        <f>'Сводные данные с индексацией'!K31*'Сравнительное преимущество'!$C22*$D29</f>
        <v>6878.3251946727742</v>
      </c>
      <c r="O36" s="201">
        <f>'Сводные данные с индексацией'!L31*'Сравнительное преимущество'!$C22*$D29</f>
        <v>6946.1001291919019</v>
      </c>
      <c r="P36" s="201">
        <f>'Сводные данные с индексацией'!M31*'Сравнительное преимущество'!$C22*$D29</f>
        <v>7014.5428776946756</v>
      </c>
      <c r="Q36" s="201">
        <f>'Сводные данные с индексацией'!N31*'Сравнительное преимущество'!$C22*$D29</f>
        <v>7083.6600204237739</v>
      </c>
      <c r="R36" s="201">
        <f>'Сводные данные с индексацией'!O31*'Сравнительное преимущество'!$C22*$D29</f>
        <v>0</v>
      </c>
      <c r="S36" s="201">
        <f>'Сводные данные с индексацией'!P31*'Сравнительное преимущество'!$C22*$D29</f>
        <v>0</v>
      </c>
      <c r="T36" s="201">
        <f>'Сводные данные с индексацией'!Q31*'Сравнительное преимущество'!$C22*$D29</f>
        <v>0</v>
      </c>
      <c r="U36" s="201">
        <f>'Сводные данные с индексацией'!R31*'Сравнительное преимущество'!$C22*$D29</f>
        <v>0</v>
      </c>
      <c r="V36" s="201">
        <f>'Сводные данные с индексацией'!S31*'Сравнительное преимущество'!$C22*$D29</f>
        <v>0</v>
      </c>
      <c r="W36" s="201">
        <f>'Сводные данные с индексацией'!T31*'Сравнительное преимущество'!$C22*$D29</f>
        <v>0</v>
      </c>
      <c r="X36" s="201">
        <f>'Сводные данные с индексацией'!U31*'Сравнительное преимущество'!$C22*$D29</f>
        <v>0</v>
      </c>
      <c r="Y36" s="201">
        <f>'Сводные данные с индексацией'!V31*'Сравнительное преимущество'!$C22*$D29</f>
        <v>0</v>
      </c>
      <c r="Z36" s="201">
        <f>'Сводные данные с индексацией'!W31*'Сравнительное преимущество'!$C22*$D29</f>
        <v>0</v>
      </c>
      <c r="AA36" s="201">
        <f>'Сводные данные с индексацией'!X31*'Сравнительное преимущество'!$C22*$D29</f>
        <v>0</v>
      </c>
      <c r="AB36" s="201">
        <f>'Сводные данные с индексацией'!Y31*'Сравнительное преимущество'!$C22*$D29</f>
        <v>0</v>
      </c>
      <c r="AC36" s="201">
        <f>'Сводные данные с индексацией'!Z31*'Сравнительное преимущество'!$C22*$D29</f>
        <v>0</v>
      </c>
      <c r="AD36" s="201">
        <f>'Сводные данные с индексацией'!AA31*'Сравнительное преимущество'!$C22*$D29</f>
        <v>0</v>
      </c>
    </row>
    <row r="37" spans="2:30" x14ac:dyDescent="0.25">
      <c r="B37" s="207" t="s">
        <v>335</v>
      </c>
      <c r="C37" s="201">
        <f>SUM(F37:AD37)</f>
        <v>2521506.5074839126</v>
      </c>
      <c r="F37" s="201">
        <f>F12*$C23*$D30</f>
        <v>0</v>
      </c>
      <c r="G37" s="201">
        <f t="shared" ref="G37:AD37" si="9">G12*$C23*$D30</f>
        <v>0</v>
      </c>
      <c r="H37" s="201">
        <f t="shared" si="9"/>
        <v>0</v>
      </c>
      <c r="I37" s="201">
        <f t="shared" si="9"/>
        <v>0</v>
      </c>
      <c r="J37" s="201">
        <f t="shared" si="9"/>
        <v>1133219.0062249014</v>
      </c>
      <c r="K37" s="201">
        <f t="shared" si="9"/>
        <v>1388287.5012590114</v>
      </c>
      <c r="L37" s="201">
        <f t="shared" si="9"/>
        <v>0</v>
      </c>
      <c r="M37" s="201">
        <f t="shared" si="9"/>
        <v>0</v>
      </c>
      <c r="N37" s="201">
        <f t="shared" si="9"/>
        <v>0</v>
      </c>
      <c r="O37" s="201">
        <f t="shared" si="9"/>
        <v>0</v>
      </c>
      <c r="P37" s="201">
        <f t="shared" si="9"/>
        <v>0</v>
      </c>
      <c r="Q37" s="201">
        <f t="shared" si="9"/>
        <v>0</v>
      </c>
      <c r="R37" s="201">
        <f t="shared" si="9"/>
        <v>0</v>
      </c>
      <c r="S37" s="201">
        <f t="shared" si="9"/>
        <v>0</v>
      </c>
      <c r="T37" s="201">
        <f t="shared" si="9"/>
        <v>0</v>
      </c>
      <c r="U37" s="201">
        <f t="shared" si="9"/>
        <v>0</v>
      </c>
      <c r="V37" s="201">
        <f t="shared" si="9"/>
        <v>0</v>
      </c>
      <c r="W37" s="201">
        <f t="shared" si="9"/>
        <v>0</v>
      </c>
      <c r="X37" s="201">
        <f t="shared" si="9"/>
        <v>0</v>
      </c>
      <c r="Y37" s="201">
        <f t="shared" si="9"/>
        <v>0</v>
      </c>
      <c r="Z37" s="201">
        <f t="shared" si="9"/>
        <v>0</v>
      </c>
      <c r="AA37" s="201">
        <f t="shared" si="9"/>
        <v>0</v>
      </c>
      <c r="AB37" s="201">
        <f t="shared" si="9"/>
        <v>0</v>
      </c>
      <c r="AC37" s="201">
        <f t="shared" si="9"/>
        <v>0</v>
      </c>
      <c r="AD37" s="201">
        <f t="shared" si="9"/>
        <v>0</v>
      </c>
    </row>
    <row r="39" spans="2:30" x14ac:dyDescent="0.25">
      <c r="B39" s="206" t="s">
        <v>348</v>
      </c>
      <c r="C39" s="212"/>
      <c r="D39" s="207"/>
    </row>
    <row r="40" spans="2:30" x14ac:dyDescent="0.25">
      <c r="B40" s="213" t="s">
        <v>445</v>
      </c>
      <c r="C40" s="209">
        <f>Параметры!C14</f>
        <v>5.3699999999999998E-2</v>
      </c>
    </row>
    <row r="41" spans="2:30" x14ac:dyDescent="0.25">
      <c r="B41" s="207" t="s">
        <v>349</v>
      </c>
      <c r="C41" s="210">
        <f>C40</f>
        <v>5.3699999999999998E-2</v>
      </c>
    </row>
    <row r="42" spans="2:30" ht="25.5" x14ac:dyDescent="0.25">
      <c r="B42" s="207" t="s">
        <v>350</v>
      </c>
      <c r="C42" s="210">
        <f>C41</f>
        <v>5.3699999999999998E-2</v>
      </c>
    </row>
    <row r="43" spans="2:30" x14ac:dyDescent="0.25">
      <c r="B43" s="207" t="s">
        <v>351</v>
      </c>
      <c r="C43" s="214">
        <v>0</v>
      </c>
    </row>
    <row r="44" spans="2:30" x14ac:dyDescent="0.25">
      <c r="B44" s="207" t="s">
        <v>352</v>
      </c>
      <c r="C44" s="215">
        <f>C8</f>
        <v>44765294.675327972</v>
      </c>
    </row>
    <row r="45" spans="2:30" ht="25.5" x14ac:dyDescent="0.25">
      <c r="B45" s="207" t="s">
        <v>353</v>
      </c>
      <c r="C45" s="214">
        <v>0</v>
      </c>
    </row>
    <row r="46" spans="2:30" x14ac:dyDescent="0.25">
      <c r="B46" s="206" t="s">
        <v>354</v>
      </c>
      <c r="C46" s="216">
        <f>SUMPRODUCT(C40:C42,C43:C45)/C8</f>
        <v>5.3699999999999998E-2</v>
      </c>
      <c r="D46" s="169">
        <f>C46+2.5%</f>
        <v>7.8699999999999992E-2</v>
      </c>
    </row>
    <row r="47" spans="2:30" x14ac:dyDescent="0.25">
      <c r="B47" s="207" t="s">
        <v>355</v>
      </c>
      <c r="C47" s="217">
        <f>(1+C46)^(1/4)-1</f>
        <v>1.3162822078603087E-2</v>
      </c>
    </row>
    <row r="49" spans="2:30" x14ac:dyDescent="0.25">
      <c r="B49" s="206" t="s">
        <v>356</v>
      </c>
      <c r="C49" s="212"/>
      <c r="D49" s="207"/>
    </row>
    <row r="50" spans="2:30" x14ac:dyDescent="0.25">
      <c r="B50" s="207" t="s">
        <v>357</v>
      </c>
      <c r="C50" s="218">
        <f>SUM(F50:AF50)</f>
        <v>43427654.385767408</v>
      </c>
      <c r="F50" s="201">
        <f>F8-F14</f>
        <v>-214947.29758394801</v>
      </c>
      <c r="G50" s="201">
        <f t="shared" ref="G50:AD50" si="10">G8-G14</f>
        <v>-217065.26069364487</v>
      </c>
      <c r="H50" s="201">
        <f t="shared" si="10"/>
        <v>-219204.0929549172</v>
      </c>
      <c r="I50" s="201">
        <f t="shared" si="10"/>
        <v>-221363.99999999994</v>
      </c>
      <c r="J50" s="201">
        <f t="shared" si="10"/>
        <v>20029679.251196891</v>
      </c>
      <c r="K50" s="201">
        <f t="shared" si="10"/>
        <v>24531634.542435814</v>
      </c>
      <c r="L50" s="201">
        <f t="shared" si="10"/>
        <v>30267.016200353672</v>
      </c>
      <c r="M50" s="201">
        <f t="shared" si="10"/>
        <v>-415528.30647215206</v>
      </c>
      <c r="N50" s="201">
        <f t="shared" si="10"/>
        <v>30866.421244766461</v>
      </c>
      <c r="O50" s="201">
        <f t="shared" si="10"/>
        <v>31170.560642002882</v>
      </c>
      <c r="P50" s="201">
        <f t="shared" si="10"/>
        <v>31477.696848367825</v>
      </c>
      <c r="Q50" s="201">
        <f t="shared" si="10"/>
        <v>30667.854903874275</v>
      </c>
      <c r="R50" s="201">
        <f t="shared" si="10"/>
        <v>0</v>
      </c>
      <c r="S50" s="201">
        <f t="shared" si="10"/>
        <v>0</v>
      </c>
      <c r="T50" s="201">
        <f t="shared" si="10"/>
        <v>0</v>
      </c>
      <c r="U50" s="201">
        <f t="shared" si="10"/>
        <v>0</v>
      </c>
      <c r="V50" s="201">
        <f t="shared" si="10"/>
        <v>0</v>
      </c>
      <c r="W50" s="201">
        <f t="shared" si="10"/>
        <v>0</v>
      </c>
      <c r="X50" s="201">
        <f t="shared" si="10"/>
        <v>0</v>
      </c>
      <c r="Y50" s="201">
        <f t="shared" si="10"/>
        <v>0</v>
      </c>
      <c r="Z50" s="201">
        <f t="shared" si="10"/>
        <v>0</v>
      </c>
      <c r="AA50" s="201">
        <f t="shared" si="10"/>
        <v>0</v>
      </c>
      <c r="AB50" s="201">
        <f t="shared" si="10"/>
        <v>0</v>
      </c>
      <c r="AC50" s="201">
        <f t="shared" si="10"/>
        <v>0</v>
      </c>
      <c r="AD50" s="201">
        <f t="shared" si="10"/>
        <v>0</v>
      </c>
    </row>
    <row r="51" spans="2:30" x14ac:dyDescent="0.25">
      <c r="B51" s="207" t="s">
        <v>358</v>
      </c>
      <c r="C51" s="218">
        <f t="shared" ref="C51:C52" si="11">SUM(F51:AF51)</f>
        <v>40359515.60016188</v>
      </c>
      <c r="F51" s="201">
        <f t="shared" ref="F51:AD51" si="12">F50/(1+$C47)^F5</f>
        <v>-212154.74245586953</v>
      </c>
      <c r="G51" s="201">
        <f t="shared" si="12"/>
        <v>-211461.75591504035</v>
      </c>
      <c r="H51" s="201">
        <f t="shared" si="12"/>
        <v>-210771.03295946124</v>
      </c>
      <c r="I51" s="201">
        <f t="shared" si="12"/>
        <v>-210082.56619531164</v>
      </c>
      <c r="J51" s="201">
        <f t="shared" si="12"/>
        <v>18761941.160519235</v>
      </c>
      <c r="K51" s="201">
        <f t="shared" si="12"/>
        <v>22680416.004468251</v>
      </c>
      <c r="L51" s="201">
        <f t="shared" si="12"/>
        <v>27619.441612664876</v>
      </c>
      <c r="M51" s="201">
        <f t="shared" si="12"/>
        <v>-374254.17504975852</v>
      </c>
      <c r="N51" s="201">
        <f t="shared" si="12"/>
        <v>27439.302893150332</v>
      </c>
      <c r="O51" s="201">
        <f t="shared" si="12"/>
        <v>27349.674599318325</v>
      </c>
      <c r="P51" s="201">
        <f t="shared" si="12"/>
        <v>27260.339069157701</v>
      </c>
      <c r="Q51" s="201">
        <f t="shared" si="12"/>
        <v>26213.949575541694</v>
      </c>
      <c r="R51" s="201">
        <f t="shared" si="12"/>
        <v>0</v>
      </c>
      <c r="S51" s="201">
        <f t="shared" si="12"/>
        <v>0</v>
      </c>
      <c r="T51" s="201">
        <f t="shared" si="12"/>
        <v>0</v>
      </c>
      <c r="U51" s="201">
        <f t="shared" si="12"/>
        <v>0</v>
      </c>
      <c r="V51" s="201">
        <f t="shared" si="12"/>
        <v>0</v>
      </c>
      <c r="W51" s="201">
        <f t="shared" si="12"/>
        <v>0</v>
      </c>
      <c r="X51" s="201">
        <f t="shared" si="12"/>
        <v>0</v>
      </c>
      <c r="Y51" s="201">
        <f t="shared" si="12"/>
        <v>0</v>
      </c>
      <c r="Z51" s="201">
        <f t="shared" si="12"/>
        <v>0</v>
      </c>
      <c r="AA51" s="201">
        <f t="shared" si="12"/>
        <v>0</v>
      </c>
      <c r="AB51" s="201">
        <f t="shared" si="12"/>
        <v>0</v>
      </c>
      <c r="AC51" s="201">
        <f t="shared" si="12"/>
        <v>0</v>
      </c>
      <c r="AD51" s="201">
        <f t="shared" si="12"/>
        <v>0</v>
      </c>
    </row>
    <row r="52" spans="2:30" x14ac:dyDescent="0.25">
      <c r="B52" s="207" t="s">
        <v>359</v>
      </c>
      <c r="C52" s="218">
        <f t="shared" si="11"/>
        <v>2427424.4968302306</v>
      </c>
      <c r="F52" s="201">
        <f t="shared" ref="F52:AD52" si="13">F32/(1+$C47)^F5</f>
        <v>0</v>
      </c>
      <c r="G52" s="201">
        <f t="shared" si="13"/>
        <v>0</v>
      </c>
      <c r="H52" s="201">
        <f t="shared" si="13"/>
        <v>0</v>
      </c>
      <c r="I52" s="201">
        <f t="shared" si="13"/>
        <v>0</v>
      </c>
      <c r="J52" s="201">
        <f t="shared" si="13"/>
        <v>1071913.3456259461</v>
      </c>
      <c r="K52" s="201">
        <f t="shared" si="13"/>
        <v>1293908.9660637111</v>
      </c>
      <c r="L52" s="201">
        <f t="shared" si="13"/>
        <v>10351.191974231859</v>
      </c>
      <c r="M52" s="201">
        <f t="shared" si="13"/>
        <v>10317.380631451368</v>
      </c>
      <c r="N52" s="201">
        <f t="shared" si="13"/>
        <v>10283.679730724649</v>
      </c>
      <c r="O52" s="201">
        <f t="shared" si="13"/>
        <v>10250.088911301547</v>
      </c>
      <c r="P52" s="201">
        <f t="shared" si="13"/>
        <v>10216.607813610262</v>
      </c>
      <c r="Q52" s="201">
        <f t="shared" si="13"/>
        <v>10183.236079253507</v>
      </c>
      <c r="R52" s="201">
        <f t="shared" si="13"/>
        <v>0</v>
      </c>
      <c r="S52" s="201">
        <f t="shared" si="13"/>
        <v>0</v>
      </c>
      <c r="T52" s="201">
        <f t="shared" si="13"/>
        <v>0</v>
      </c>
      <c r="U52" s="201">
        <f t="shared" si="13"/>
        <v>0</v>
      </c>
      <c r="V52" s="201">
        <f t="shared" si="13"/>
        <v>0</v>
      </c>
      <c r="W52" s="201">
        <f t="shared" si="13"/>
        <v>0</v>
      </c>
      <c r="X52" s="201">
        <f t="shared" si="13"/>
        <v>0</v>
      </c>
      <c r="Y52" s="201">
        <f t="shared" si="13"/>
        <v>0</v>
      </c>
      <c r="Z52" s="201">
        <f t="shared" si="13"/>
        <v>0</v>
      </c>
      <c r="AA52" s="201">
        <f t="shared" si="13"/>
        <v>0</v>
      </c>
      <c r="AB52" s="201">
        <f t="shared" si="13"/>
        <v>0</v>
      </c>
      <c r="AC52" s="201">
        <f t="shared" si="13"/>
        <v>0</v>
      </c>
      <c r="AD52" s="201">
        <f t="shared" si="13"/>
        <v>0</v>
      </c>
    </row>
    <row r="53" spans="2:30" x14ac:dyDescent="0.25">
      <c r="B53" s="207"/>
      <c r="C53" s="207"/>
    </row>
    <row r="54" spans="2:30" ht="18.75" x14ac:dyDescent="0.25">
      <c r="B54" s="219" t="s">
        <v>360</v>
      </c>
      <c r="C54" s="220"/>
      <c r="D54" s="221"/>
    </row>
    <row r="55" spans="2:30" x14ac:dyDescent="0.25">
      <c r="B55" s="207"/>
      <c r="C55" s="207"/>
    </row>
    <row r="56" spans="2:30" x14ac:dyDescent="0.25">
      <c r="B56" s="206" t="s">
        <v>361</v>
      </c>
      <c r="C56" s="222">
        <f>SUM(F56:AF56)</f>
        <v>42695649.883070074</v>
      </c>
      <c r="F56" s="199">
        <f>SUM(F57:F60)</f>
        <v>1970990.7690324134</v>
      </c>
      <c r="G56" s="199">
        <f t="shared" ref="G56:AD56" si="14">SUM(G57:G60)</f>
        <v>18441888.301039714</v>
      </c>
      <c r="H56" s="199">
        <f t="shared" si="14"/>
        <v>16121062.282231916</v>
      </c>
      <c r="I56" s="199">
        <f t="shared" si="14"/>
        <v>5915922.7828999972</v>
      </c>
      <c r="J56" s="199">
        <f t="shared" si="14"/>
        <v>29679.251196890837</v>
      </c>
      <c r="K56" s="199">
        <f t="shared" si="14"/>
        <v>29971.692925002775</v>
      </c>
      <c r="L56" s="199">
        <f t="shared" si="14"/>
        <v>30267.016200353675</v>
      </c>
      <c r="M56" s="199">
        <f t="shared" si="14"/>
        <v>30565.249415999984</v>
      </c>
      <c r="N56" s="199">
        <f t="shared" si="14"/>
        <v>30866.421244766469</v>
      </c>
      <c r="O56" s="199">
        <f t="shared" si="14"/>
        <v>31170.560642002878</v>
      </c>
      <c r="P56" s="199">
        <f t="shared" si="14"/>
        <v>31477.696848367821</v>
      </c>
      <c r="Q56" s="199">
        <f t="shared" si="14"/>
        <v>31787.859392639984</v>
      </c>
      <c r="R56" s="199">
        <f t="shared" si="14"/>
        <v>0</v>
      </c>
      <c r="S56" s="199">
        <f t="shared" si="14"/>
        <v>0</v>
      </c>
      <c r="T56" s="199">
        <f t="shared" si="14"/>
        <v>0</v>
      </c>
      <c r="U56" s="199">
        <f t="shared" si="14"/>
        <v>0</v>
      </c>
      <c r="V56" s="199">
        <f t="shared" si="14"/>
        <v>0</v>
      </c>
      <c r="W56" s="199">
        <f t="shared" si="14"/>
        <v>0</v>
      </c>
      <c r="X56" s="199">
        <f t="shared" si="14"/>
        <v>0</v>
      </c>
      <c r="Y56" s="199">
        <f t="shared" si="14"/>
        <v>0</v>
      </c>
      <c r="Z56" s="199">
        <f t="shared" si="14"/>
        <v>0</v>
      </c>
      <c r="AA56" s="199">
        <f t="shared" si="14"/>
        <v>0</v>
      </c>
      <c r="AB56" s="199">
        <f t="shared" si="14"/>
        <v>0</v>
      </c>
      <c r="AC56" s="199">
        <f t="shared" si="14"/>
        <v>0</v>
      </c>
      <c r="AD56" s="199">
        <f t="shared" si="14"/>
        <v>0</v>
      </c>
    </row>
    <row r="57" spans="2:30" x14ac:dyDescent="0.25">
      <c r="B57" s="207" t="s">
        <v>332</v>
      </c>
      <c r="C57" s="223">
        <f>SUM(F57:AF57)</f>
        <v>2769109.3025880978</v>
      </c>
      <c r="F57" s="201">
        <f>'Сводные данные с индексацией'!C8</f>
        <v>1310789.7217005615</v>
      </c>
      <c r="G57" s="201">
        <f>'Сводные данные с индексацией'!D8</f>
        <v>1458319.5808875363</v>
      </c>
      <c r="H57" s="201">
        <f>'Сводные данные с индексацией'!E8</f>
        <v>0</v>
      </c>
      <c r="I57" s="201">
        <f>'Сводные данные с индексацией'!F8</f>
        <v>0</v>
      </c>
      <c r="J57" s="201">
        <f>'Сводные данные с индексацией'!G8</f>
        <v>0</v>
      </c>
      <c r="K57" s="201">
        <f>'Сводные данные с индексацией'!H8</f>
        <v>0</v>
      </c>
      <c r="L57" s="201">
        <f>'Сводные данные с индексацией'!I8</f>
        <v>0</v>
      </c>
      <c r="M57" s="201">
        <f>'Сводные данные с индексацией'!J8</f>
        <v>0</v>
      </c>
      <c r="N57" s="201">
        <f>'Сводные данные с индексацией'!K8</f>
        <v>0</v>
      </c>
      <c r="O57" s="201">
        <f>'Сводные данные с индексацией'!L8</f>
        <v>0</v>
      </c>
      <c r="P57" s="201">
        <f>'Сводные данные с индексацией'!M8</f>
        <v>0</v>
      </c>
      <c r="Q57" s="201">
        <f>'Сводные данные с индексацией'!N8</f>
        <v>0</v>
      </c>
      <c r="R57" s="201">
        <f>'Сводные данные с индексацией'!O8</f>
        <v>0</v>
      </c>
      <c r="S57" s="201">
        <f>'Сводные данные с индексацией'!P8</f>
        <v>0</v>
      </c>
      <c r="T57" s="201">
        <f>'Сводные данные с индексацией'!Q8</f>
        <v>0</v>
      </c>
      <c r="U57" s="201">
        <f>'Сводные данные с индексацией'!R8</f>
        <v>0</v>
      </c>
      <c r="V57" s="201">
        <f>'Сводные данные с индексацией'!S8</f>
        <v>0</v>
      </c>
      <c r="W57" s="201">
        <f>'Сводные данные с индексацией'!T8</f>
        <v>0</v>
      </c>
      <c r="X57" s="201">
        <f>'Сводные данные с индексацией'!U8</f>
        <v>0</v>
      </c>
      <c r="Y57" s="201">
        <f>'Сводные данные с индексацией'!V8</f>
        <v>0</v>
      </c>
      <c r="Z57" s="201">
        <f>'Сводные данные с индексацией'!W8</f>
        <v>0</v>
      </c>
      <c r="AA57" s="201">
        <f>'Сводные данные с индексацией'!X8</f>
        <v>0</v>
      </c>
      <c r="AB57" s="201">
        <f>'Сводные данные с индексацией'!Y8</f>
        <v>0</v>
      </c>
      <c r="AC57" s="201">
        <f>'Сводные данные с индексацией'!Z8</f>
        <v>0</v>
      </c>
      <c r="AD57" s="201">
        <f>'Сводные данные с индексацией'!AA8</f>
        <v>0</v>
      </c>
    </row>
    <row r="58" spans="2:30" x14ac:dyDescent="0.25">
      <c r="B58" s="207" t="s">
        <v>333</v>
      </c>
      <c r="C58" s="223">
        <f t="shared" ref="C58:C60" si="15">SUM(F58:AF58)</f>
        <v>37000662.241080925</v>
      </c>
      <c r="F58" s="201">
        <f>'Сводные данные с индексацией'!C9+'Сводные данные с индексацией'!C10+'Сводные данные с индексацией'!C11</f>
        <v>0</v>
      </c>
      <c r="G58" s="201">
        <f>'Сводные данные с индексацией'!D9+'Сводные данные с индексацией'!D10+'Сводные данные с индексацией'!D11</f>
        <v>16316862.443496909</v>
      </c>
      <c r="H58" s="201">
        <f>'Сводные данные с индексацией'!E9+'Сводные данные с индексацией'!E10+'Сводные данные с индексацией'!E11</f>
        <v>15447786.677584015</v>
      </c>
      <c r="I58" s="201">
        <f>'Сводные данные с индексацией'!F9+'Сводные данные с индексацией'!F10+'Сводные данные с индексацией'!F11</f>
        <v>5236013.1199999973</v>
      </c>
      <c r="J58" s="201">
        <f>'Сводные данные с индексацией'!G9+'Сводные данные с индексацией'!G10+'Сводные данные с индексацией'!G11</f>
        <v>0</v>
      </c>
      <c r="K58" s="201">
        <f>'Сводные данные с индексацией'!H9+'Сводные данные с индексацией'!H10+'Сводные данные с индексацией'!H11</f>
        <v>0</v>
      </c>
      <c r="L58" s="201">
        <f>'Сводные данные с индексацией'!I9+'Сводные данные с индексацией'!I10+'Сводные данные с индексацией'!I11</f>
        <v>0</v>
      </c>
      <c r="M58" s="201">
        <f>'Сводные данные с индексацией'!J9+'Сводные данные с индексацией'!J10+'Сводные данные с индексацией'!J11</f>
        <v>0</v>
      </c>
      <c r="N58" s="201">
        <f>'Сводные данные с индексацией'!K9+'Сводные данные с индексацией'!K10+'Сводные данные с индексацией'!K11</f>
        <v>0</v>
      </c>
      <c r="O58" s="201">
        <f>'Сводные данные с индексацией'!L9+'Сводные данные с индексацией'!L10+'Сводные данные с индексацией'!L11</f>
        <v>0</v>
      </c>
      <c r="P58" s="201">
        <f>'Сводные данные с индексацией'!M9+'Сводные данные с индексацией'!M10+'Сводные данные с индексацией'!M11</f>
        <v>0</v>
      </c>
      <c r="Q58" s="201">
        <f>'Сводные данные с индексацией'!N9+'Сводные данные с индексацией'!N10+'Сводные данные с индексацией'!N11</f>
        <v>0</v>
      </c>
      <c r="R58" s="201">
        <f>'Сводные данные с индексацией'!O9+'Сводные данные с индексацией'!O10+'Сводные данные с индексацией'!O11</f>
        <v>0</v>
      </c>
      <c r="S58" s="201">
        <f>'Сводные данные с индексацией'!P9+'Сводные данные с индексацией'!P10+'Сводные данные с индексацией'!P11</f>
        <v>0</v>
      </c>
      <c r="T58" s="201">
        <f>'Сводные данные с индексацией'!Q9+'Сводные данные с индексацией'!Q10+'Сводные данные с индексацией'!Q11</f>
        <v>0</v>
      </c>
      <c r="U58" s="201">
        <f>'Сводные данные с индексацией'!R9+'Сводные данные с индексацией'!R10+'Сводные данные с индексацией'!R11</f>
        <v>0</v>
      </c>
      <c r="V58" s="201">
        <f>'Сводные данные с индексацией'!S9+'Сводные данные с индексацией'!S10+'Сводные данные с индексацией'!S11</f>
        <v>0</v>
      </c>
      <c r="W58" s="201">
        <f>'Сводные данные с индексацией'!T9+'Сводные данные с индексацией'!T10+'Сводные данные с индексацией'!T11</f>
        <v>0</v>
      </c>
      <c r="X58" s="201">
        <f>'Сводные данные с индексацией'!U9+'Сводные данные с индексацией'!U10+'Сводные данные с индексацией'!U11</f>
        <v>0</v>
      </c>
      <c r="Y58" s="201">
        <f>'Сводные данные с индексацией'!V9+'Сводные данные с индексацией'!V10+'Сводные данные с индексацией'!V11</f>
        <v>0</v>
      </c>
      <c r="Z58" s="201">
        <f>'Сводные данные с индексацией'!W9+'Сводные данные с индексацией'!W10+'Сводные данные с индексацией'!W11</f>
        <v>0</v>
      </c>
      <c r="AA58" s="201">
        <f>'Сводные данные с индексацией'!X9+'Сводные данные с индексацией'!X10+'Сводные данные с индексацией'!X11</f>
        <v>0</v>
      </c>
      <c r="AB58" s="201">
        <f>'Сводные данные с индексацией'!Y9+'Сводные данные с индексацией'!Y10+'Сводные данные с индексацией'!Y11</f>
        <v>0</v>
      </c>
      <c r="AC58" s="201">
        <f>'Сводные данные с индексацией'!Z9+'Сводные данные с индексацией'!Z10+'Сводные данные с индексацией'!Z11</f>
        <v>0</v>
      </c>
      <c r="AD58" s="201">
        <f>'Сводные данные с индексацией'!AA9+'Сводные данные с индексацией'!AA10+'Сводные данные с индексацией'!AA11</f>
        <v>0</v>
      </c>
    </row>
    <row r="59" spans="2:30" x14ac:dyDescent="0.25">
      <c r="B59" s="221" t="s">
        <v>334</v>
      </c>
      <c r="C59" s="223">
        <f t="shared" si="15"/>
        <v>156555.35811035035</v>
      </c>
      <c r="F59" s="201">
        <f>'Сводные данные с индексацией'!C15</f>
        <v>0</v>
      </c>
      <c r="G59" s="201">
        <f>'Сводные данные с индексацией'!D15</f>
        <v>0</v>
      </c>
      <c r="H59" s="201">
        <f>'Сводные данные с индексацией'!E15</f>
        <v>0</v>
      </c>
      <c r="I59" s="201">
        <f>'Сводные данные с индексацией'!F15</f>
        <v>0</v>
      </c>
      <c r="J59" s="201">
        <f>'Сводные данные с индексацией'!G15</f>
        <v>18904.455770596691</v>
      </c>
      <c r="K59" s="201">
        <f>'Сводные данные с индексацией'!H15</f>
        <v>19090.729058891382</v>
      </c>
      <c r="L59" s="201">
        <f>'Сводные данные с индексацией'!I15</f>
        <v>19278.837773624848</v>
      </c>
      <c r="M59" s="201">
        <f>'Сводные данные с индексацией'!J15</f>
        <v>19468.799999999988</v>
      </c>
      <c r="N59" s="201">
        <f>'Сводные данные с индексацией'!K15</f>
        <v>19660.634001420556</v>
      </c>
      <c r="O59" s="201">
        <f>'Сводные данные с индексацией'!L15</f>
        <v>19854.358221247032</v>
      </c>
      <c r="P59" s="201">
        <f>'Сводные данные с индексацией'!M15</f>
        <v>20049.991284569842</v>
      </c>
      <c r="Q59" s="201">
        <f>'Сводные данные с индексацией'!N15</f>
        <v>20247.551999999989</v>
      </c>
      <c r="R59" s="201">
        <f>'Сводные данные с индексацией'!O15</f>
        <v>0</v>
      </c>
      <c r="S59" s="201">
        <f>'Сводные данные с индексацией'!P15</f>
        <v>0</v>
      </c>
      <c r="T59" s="201">
        <f>'Сводные данные с индексацией'!Q15</f>
        <v>0</v>
      </c>
      <c r="U59" s="201">
        <f>'Сводные данные с индексацией'!R15</f>
        <v>0</v>
      </c>
      <c r="V59" s="201">
        <f>'Сводные данные с индексацией'!S15</f>
        <v>0</v>
      </c>
      <c r="W59" s="201">
        <f>'Сводные данные с индексацией'!T15</f>
        <v>0</v>
      </c>
      <c r="X59" s="201">
        <f>'Сводные данные с индексацией'!U15</f>
        <v>0</v>
      </c>
      <c r="Y59" s="201">
        <f>'Сводные данные с индексацией'!V15</f>
        <v>0</v>
      </c>
      <c r="Z59" s="201">
        <f>'Сводные данные с индексацией'!W15</f>
        <v>0</v>
      </c>
      <c r="AA59" s="201">
        <f>'Сводные данные с индексацией'!X15</f>
        <v>0</v>
      </c>
      <c r="AB59" s="201">
        <f>'Сводные данные с индексацией'!Y15</f>
        <v>0</v>
      </c>
      <c r="AC59" s="201">
        <f>'Сводные данные с индексацией'!Z15</f>
        <v>0</v>
      </c>
      <c r="AD59" s="201">
        <f>'Сводные данные с индексацией'!AA15</f>
        <v>0</v>
      </c>
    </row>
    <row r="60" spans="2:30" x14ac:dyDescent="0.25">
      <c r="B60" s="207" t="s">
        <v>335</v>
      </c>
      <c r="C60" s="223">
        <f t="shared" si="15"/>
        <v>2769322.9812906948</v>
      </c>
      <c r="F60" s="201">
        <f>SUM('Сводные данные с индексацией'!C24:C26)</f>
        <v>660201.04733185191</v>
      </c>
      <c r="G60" s="201">
        <f>SUM('Сводные данные с индексацией'!D24:D26)</f>
        <v>666706.27665526769</v>
      </c>
      <c r="H60" s="201">
        <f>SUM('Сводные данные с индексацией'!E24:E26)</f>
        <v>673275.60464790114</v>
      </c>
      <c r="I60" s="201">
        <f>SUM('Сводные данные с индексацией'!F24:F26)</f>
        <v>679909.66289999988</v>
      </c>
      <c r="J60" s="201">
        <f>SUM('Сводные данные с индексацией'!G24:G26)</f>
        <v>10774.795426294146</v>
      </c>
      <c r="K60" s="201">
        <f>SUM('Сводные данные с индексацией'!H24:H26)</f>
        <v>10880.963866111393</v>
      </c>
      <c r="L60" s="201">
        <f>SUM('Сводные данные с индексацией'!I24:I26)</f>
        <v>10988.178426728828</v>
      </c>
      <c r="M60" s="201">
        <f>SUM('Сводные данные с индексацией'!J24:J26)</f>
        <v>11096.449415999994</v>
      </c>
      <c r="N60" s="201">
        <f>SUM('Сводные данные с индексацией'!K24:K26)</f>
        <v>11205.787243345911</v>
      </c>
      <c r="O60" s="201">
        <f>SUM('Сводные данные с индексацией'!L24:L26)</f>
        <v>11316.202420755848</v>
      </c>
      <c r="P60" s="201">
        <f>SUM('Сводные данные с индексацией'!M24:M26)</f>
        <v>11427.705563797981</v>
      </c>
      <c r="Q60" s="201">
        <f>SUM('Сводные данные с индексацией'!N24:N26)</f>
        <v>11540.307392639994</v>
      </c>
      <c r="R60" s="201">
        <f>SUM('Сводные данные с индексацией'!O24:O26)</f>
        <v>0</v>
      </c>
      <c r="S60" s="201">
        <f>SUM('Сводные данные с индексацией'!P24:P26)</f>
        <v>0</v>
      </c>
      <c r="T60" s="201">
        <f>SUM('Сводные данные с индексацией'!Q24:Q26)</f>
        <v>0</v>
      </c>
      <c r="U60" s="201">
        <f>SUM('Сводные данные с индексацией'!R24:R26)</f>
        <v>0</v>
      </c>
      <c r="V60" s="201">
        <f>SUM('Сводные данные с индексацией'!S24:S26)</f>
        <v>0</v>
      </c>
      <c r="W60" s="201">
        <f>SUM('Сводные данные с индексацией'!T24:T26)</f>
        <v>0</v>
      </c>
      <c r="X60" s="201">
        <f>SUM('Сводные данные с индексацией'!U24:U26)</f>
        <v>0</v>
      </c>
      <c r="Y60" s="201">
        <f>SUM('Сводные данные с индексацией'!V24:V26)</f>
        <v>0</v>
      </c>
      <c r="Z60" s="201">
        <f>SUM('Сводные данные с индексацией'!W24:W26)</f>
        <v>0</v>
      </c>
      <c r="AA60" s="201">
        <f>SUM('Сводные данные с индексацией'!X24:X26)</f>
        <v>0</v>
      </c>
      <c r="AB60" s="201">
        <f>SUM('Сводные данные с индексацией'!Y24:Y26)</f>
        <v>0</v>
      </c>
      <c r="AC60" s="201">
        <f>SUM('Сводные данные с индексацией'!Z24:Z26)</f>
        <v>0</v>
      </c>
      <c r="AD60" s="201">
        <f>SUM('Сводные данные с индексацией'!AA24:AA26)</f>
        <v>0</v>
      </c>
    </row>
    <row r="61" spans="2:30" x14ac:dyDescent="0.25">
      <c r="B61" s="207"/>
      <c r="C61" s="224"/>
    </row>
    <row r="62" spans="2:30" x14ac:dyDescent="0.25">
      <c r="B62" s="206" t="s">
        <v>362</v>
      </c>
      <c r="C62" s="222">
        <f>SUM(F62:AF62)</f>
        <v>1337640.2895605625</v>
      </c>
      <c r="F62" s="199">
        <f>SUM(F63:F64)</f>
        <v>214947.29758394801</v>
      </c>
      <c r="G62" s="199">
        <f t="shared" ref="G62:AD62" si="16">SUM(G63:G64)</f>
        <v>217065.26069364487</v>
      </c>
      <c r="H62" s="199">
        <f t="shared" si="16"/>
        <v>219204.0929549172</v>
      </c>
      <c r="I62" s="199">
        <f t="shared" si="16"/>
        <v>221363.99999999994</v>
      </c>
      <c r="J62" s="199">
        <f t="shared" si="16"/>
        <v>2154.9590852588294</v>
      </c>
      <c r="K62" s="199">
        <f t="shared" si="16"/>
        <v>2176.1927732222789</v>
      </c>
      <c r="L62" s="199">
        <f t="shared" si="16"/>
        <v>2197.6356853457651</v>
      </c>
      <c r="M62" s="199">
        <f t="shared" si="16"/>
        <v>448312.84577135206</v>
      </c>
      <c r="N62" s="199">
        <f t="shared" si="16"/>
        <v>2241.1574486691811</v>
      </c>
      <c r="O62" s="199">
        <f t="shared" si="16"/>
        <v>2263.2404841511698</v>
      </c>
      <c r="P62" s="199">
        <f t="shared" si="16"/>
        <v>2285.5411127595971</v>
      </c>
      <c r="Q62" s="199">
        <f t="shared" si="16"/>
        <v>3428.0659672937081</v>
      </c>
      <c r="R62" s="199">
        <f t="shared" si="16"/>
        <v>0</v>
      </c>
      <c r="S62" s="199">
        <f t="shared" si="16"/>
        <v>0</v>
      </c>
      <c r="T62" s="199">
        <f t="shared" si="16"/>
        <v>0</v>
      </c>
      <c r="U62" s="199">
        <f t="shared" si="16"/>
        <v>0</v>
      </c>
      <c r="V62" s="199">
        <f t="shared" si="16"/>
        <v>0</v>
      </c>
      <c r="W62" s="199">
        <f t="shared" si="16"/>
        <v>0</v>
      </c>
      <c r="X62" s="199">
        <f t="shared" si="16"/>
        <v>0</v>
      </c>
      <c r="Y62" s="199">
        <f t="shared" si="16"/>
        <v>0</v>
      </c>
      <c r="Z62" s="199">
        <f t="shared" si="16"/>
        <v>0</v>
      </c>
      <c r="AA62" s="199">
        <f t="shared" si="16"/>
        <v>0</v>
      </c>
      <c r="AB62" s="199">
        <f t="shared" si="16"/>
        <v>0</v>
      </c>
      <c r="AC62" s="199">
        <f t="shared" si="16"/>
        <v>0</v>
      </c>
      <c r="AD62" s="199">
        <f t="shared" si="16"/>
        <v>0</v>
      </c>
    </row>
    <row r="63" spans="2:30" x14ac:dyDescent="0.25">
      <c r="B63" s="207" t="s">
        <v>363</v>
      </c>
      <c r="C63" s="223">
        <f>SUM(F63:AF63)</f>
        <v>728863.0910262533</v>
      </c>
      <c r="F63" s="201">
        <f>'Сводные данные с индексацией'!C25*0.13+'Сводные данные с индексацией'!C38+'Сводные данные с индексацией'!C40</f>
        <v>64984.066711426145</v>
      </c>
      <c r="G63" s="201">
        <f>'Сводные данные с индексацией'!D25*0.13+'Сводные данные с индексацией'!D38+'Сводные данные с индексацией'!D40</f>
        <v>65624.381139939142</v>
      </c>
      <c r="H63" s="201">
        <f>'Сводные данные с индексацией'!E25*0.13+'Сводные данные с индексацией'!E38+'Сводные данные с индексацией'!E40</f>
        <v>66271.004846835422</v>
      </c>
      <c r="I63" s="201">
        <f>'Сводные данные с индексацией'!F25*0.13+'Сводные данные с индексацией'!F38+'Сводные данные с индексацией'!F40</f>
        <v>66923.999999999985</v>
      </c>
      <c r="J63" s="201">
        <f>'Сводные данные с индексацией'!G25*0.13+'Сводные данные с индексацией'!G38+'Сводные данные с индексацией'!G40</f>
        <v>2154.9590852588294</v>
      </c>
      <c r="K63" s="201">
        <f>'Сводные данные с индексацией'!H25*0.13+'Сводные данные с индексацией'!H38+'Сводные данные с индексацией'!H40</f>
        <v>2176.1927732222789</v>
      </c>
      <c r="L63" s="201">
        <f>'Сводные данные с индексацией'!I25*0.13+'Сводные данные с индексацией'!I38+'Сводные данные с индексацией'!I40</f>
        <v>2197.6356853457651</v>
      </c>
      <c r="M63" s="201">
        <f>'Сводные данные с индексацией'!J25*0.13+'Сводные данные с индексацией'!J38+'Сводные данные с индексацией'!J40</f>
        <v>448312.84577135206</v>
      </c>
      <c r="N63" s="201">
        <f>'Сводные данные с индексацией'!K25*0.13+'Сводные данные с индексацией'!K38+'Сводные данные с индексацией'!K40</f>
        <v>2241.1574486691811</v>
      </c>
      <c r="O63" s="201">
        <f>'Сводные данные с индексацией'!L25*0.13+'Сводные данные с индексацией'!L38+'Сводные данные с индексацией'!L40</f>
        <v>2263.2404841511698</v>
      </c>
      <c r="P63" s="201">
        <f>'Сводные данные с индексацией'!M25*0.13+'Сводные данные с индексацией'!M38+'Сводные данные с индексацией'!M40</f>
        <v>2285.5411127595971</v>
      </c>
      <c r="Q63" s="201">
        <f>'Сводные данные с индексацией'!N25*0.13+'Сводные данные с индексацией'!N38+'Сводные данные с индексацией'!N40</f>
        <v>3428.0659672937081</v>
      </c>
      <c r="R63" s="201">
        <f>'Сводные данные с индексацией'!O25*0.13+'Сводные данные с индексацией'!O38+'Сводные данные с индексацией'!O40</f>
        <v>0</v>
      </c>
      <c r="S63" s="201">
        <f>'Сводные данные с индексацией'!P25*0.13+'Сводные данные с индексацией'!P38+'Сводные данные с индексацией'!P40</f>
        <v>0</v>
      </c>
      <c r="T63" s="201">
        <f>'Сводные данные с индексацией'!Q25*0.13+'Сводные данные с индексацией'!Q38+'Сводные данные с индексацией'!Q40</f>
        <v>0</v>
      </c>
      <c r="U63" s="201">
        <f>'Сводные данные с индексацией'!R25*0.13+'Сводные данные с индексацией'!R38+'Сводные данные с индексацией'!R40</f>
        <v>0</v>
      </c>
      <c r="V63" s="201">
        <f>'Сводные данные с индексацией'!S25*0.13+'Сводные данные с индексацией'!S38+'Сводные данные с индексацией'!S40</f>
        <v>0</v>
      </c>
      <c r="W63" s="201">
        <f>'Сводные данные с индексацией'!T25*0.13+'Сводные данные с индексацией'!T38+'Сводные данные с индексацией'!T40</f>
        <v>0</v>
      </c>
      <c r="X63" s="201">
        <f>'Сводные данные с индексацией'!U25*0.13+'Сводные данные с индексацией'!U38+'Сводные данные с индексацией'!U40</f>
        <v>0</v>
      </c>
      <c r="Y63" s="201">
        <f>'Сводные данные с индексацией'!V25*0.13+'Сводные данные с индексацией'!V38+'Сводные данные с индексацией'!V40</f>
        <v>0</v>
      </c>
      <c r="Z63" s="201">
        <f>'Сводные данные с индексацией'!W25*0.13+'Сводные данные с индексацией'!W38+'Сводные данные с индексацией'!W40</f>
        <v>0</v>
      </c>
      <c r="AA63" s="201">
        <f>'Сводные данные с индексацией'!X25*0.13+'Сводные данные с индексацией'!X38+'Сводные данные с индексацией'!X40</f>
        <v>0</v>
      </c>
      <c r="AB63" s="201">
        <f>'Сводные данные с индексацией'!Y25*0.13+'Сводные данные с индексацией'!Y38+'Сводные данные с индексацией'!Y40</f>
        <v>0</v>
      </c>
      <c r="AC63" s="201">
        <f>'Сводные данные с индексацией'!Z25*0.13+'Сводные данные с индексацией'!Z38+'Сводные данные с индексацией'!Z40</f>
        <v>0</v>
      </c>
      <c r="AD63" s="201">
        <f>'Сводные данные с индексацией'!AA25*0.13+'Сводные данные с индексацией'!AA38+'Сводные данные с индексацией'!AA40</f>
        <v>0</v>
      </c>
    </row>
    <row r="64" spans="2:30" x14ac:dyDescent="0.25">
      <c r="B64" s="207" t="s">
        <v>364</v>
      </c>
      <c r="C64" s="225">
        <f>SUM(F64:AD64)</f>
        <v>608777.19853430928</v>
      </c>
      <c r="F64" s="201">
        <f>'Сводные данные с индексацией'!C26</f>
        <v>149963.23087252188</v>
      </c>
      <c r="G64" s="201">
        <f>'Сводные данные с индексацией'!D26</f>
        <v>151440.87955370572</v>
      </c>
      <c r="H64" s="201">
        <f>'Сводные данные с индексацией'!E26</f>
        <v>152933.08810808178</v>
      </c>
      <c r="I64" s="201">
        <f>'Сводные данные с индексацией'!F26</f>
        <v>154439.99999999997</v>
      </c>
      <c r="J64" s="201">
        <f>'Сводные данные с индексацией'!G26</f>
        <v>0</v>
      </c>
      <c r="K64" s="201">
        <f>'Сводные данные с индексацией'!H26</f>
        <v>0</v>
      </c>
      <c r="L64" s="201">
        <f>'Сводные данные с индексацией'!I26</f>
        <v>0</v>
      </c>
      <c r="M64" s="201">
        <f>'Сводные данные с индексацией'!J26</f>
        <v>0</v>
      </c>
      <c r="N64" s="201">
        <f>'Сводные данные с индексацией'!K26</f>
        <v>0</v>
      </c>
      <c r="O64" s="201">
        <f>'Сводные данные с индексацией'!L26</f>
        <v>0</v>
      </c>
      <c r="P64" s="201">
        <f>'Сводные данные с индексацией'!M26</f>
        <v>0</v>
      </c>
      <c r="Q64" s="201">
        <f>'Сводные данные с индексацией'!N26</f>
        <v>0</v>
      </c>
      <c r="R64" s="201">
        <f>'Сводные данные с индексацией'!O26</f>
        <v>0</v>
      </c>
      <c r="S64" s="201">
        <f>'Сводные данные с индексацией'!P26</f>
        <v>0</v>
      </c>
      <c r="T64" s="201">
        <f>'Сводные данные с индексацией'!Q26</f>
        <v>0</v>
      </c>
      <c r="U64" s="201">
        <f>'Сводные данные с индексацией'!R26</f>
        <v>0</v>
      </c>
      <c r="V64" s="201">
        <f>'Сводные данные с индексацией'!S26</f>
        <v>0</v>
      </c>
      <c r="W64" s="201">
        <f>'Сводные данные с индексацией'!T26</f>
        <v>0</v>
      </c>
      <c r="X64" s="201">
        <f>'Сводные данные с индексацией'!U26</f>
        <v>0</v>
      </c>
      <c r="Y64" s="201">
        <f>'Сводные данные с индексацией'!V26</f>
        <v>0</v>
      </c>
      <c r="Z64" s="201">
        <f>'Сводные данные с индексацией'!W26</f>
        <v>0</v>
      </c>
      <c r="AA64" s="201">
        <f>'Сводные данные с индексацией'!X26</f>
        <v>0</v>
      </c>
      <c r="AB64" s="201">
        <f>'Сводные данные с индексацией'!Y26</f>
        <v>0</v>
      </c>
      <c r="AC64" s="201">
        <f>'Сводные данные с индексацией'!Z26</f>
        <v>0</v>
      </c>
      <c r="AD64" s="201">
        <f>'Сводные данные с индексацией'!AA26</f>
        <v>0</v>
      </c>
    </row>
    <row r="66" spans="2:30" x14ac:dyDescent="0.25">
      <c r="B66" s="206" t="s">
        <v>381</v>
      </c>
      <c r="C66" s="207"/>
    </row>
    <row r="67" spans="2:30" x14ac:dyDescent="0.25">
      <c r="B67" s="207" t="s">
        <v>341</v>
      </c>
      <c r="C67" s="209">
        <v>0.1</v>
      </c>
    </row>
    <row r="68" spans="2:30" x14ac:dyDescent="0.25">
      <c r="B68" s="207" t="s">
        <v>342</v>
      </c>
      <c r="C68" s="209">
        <v>0.1</v>
      </c>
    </row>
    <row r="69" spans="2:30" x14ac:dyDescent="0.25">
      <c r="B69" s="207" t="s">
        <v>343</v>
      </c>
      <c r="C69" s="209">
        <v>0.2</v>
      </c>
    </row>
    <row r="70" spans="2:30" x14ac:dyDescent="0.25">
      <c r="B70" s="207" t="s">
        <v>344</v>
      </c>
      <c r="C70" s="209">
        <v>0.25</v>
      </c>
    </row>
    <row r="71" spans="2:30" x14ac:dyDescent="0.25">
      <c r="B71" s="207" t="s">
        <v>345</v>
      </c>
      <c r="C71" s="209">
        <v>0.05</v>
      </c>
    </row>
    <row r="73" spans="2:30" x14ac:dyDescent="0.25">
      <c r="B73" s="211" t="s">
        <v>346</v>
      </c>
      <c r="C73" s="204">
        <f>SUM(F73:AD73)</f>
        <v>4500747.2976780059</v>
      </c>
      <c r="F73" s="199">
        <f>SUM(F74:F78)</f>
        <v>164089.02453664877</v>
      </c>
      <c r="G73" s="199">
        <f t="shared" ref="G73:AD73" si="17">SUM(G74:G78)</f>
        <v>1810853.5162712082</v>
      </c>
      <c r="H73" s="199">
        <f t="shared" si="17"/>
        <v>1578442.4479907965</v>
      </c>
      <c r="I73" s="199">
        <f t="shared" si="17"/>
        <v>557596.79514499975</v>
      </c>
      <c r="J73" s="199">
        <f t="shared" si="17"/>
        <v>4319.6309254340458</v>
      </c>
      <c r="K73" s="199">
        <f t="shared" si="17"/>
        <v>4362.1940050838466</v>
      </c>
      <c r="L73" s="199">
        <f t="shared" si="17"/>
        <v>4405.1764760614114</v>
      </c>
      <c r="M73" s="199">
        <f t="shared" si="17"/>
        <v>4448.5824707999973</v>
      </c>
      <c r="N73" s="199">
        <f t="shared" si="17"/>
        <v>4492.4161624514072</v>
      </c>
      <c r="O73" s="199">
        <f t="shared" si="17"/>
        <v>26661.239429318452</v>
      </c>
      <c r="P73" s="199">
        <f t="shared" si="17"/>
        <v>26705.941199135119</v>
      </c>
      <c r="Q73" s="199">
        <f t="shared" si="17"/>
        <v>26751.083433663251</v>
      </c>
      <c r="R73" s="199">
        <f t="shared" si="17"/>
        <v>22124.55766403125</v>
      </c>
      <c r="S73" s="199">
        <f t="shared" si="17"/>
        <v>22124.55766403125</v>
      </c>
      <c r="T73" s="199">
        <f t="shared" si="17"/>
        <v>22124.55766403125</v>
      </c>
      <c r="U73" s="199">
        <f t="shared" si="17"/>
        <v>22124.55766403125</v>
      </c>
      <c r="V73" s="199">
        <f t="shared" si="17"/>
        <v>22124.55766403125</v>
      </c>
      <c r="W73" s="199">
        <f t="shared" si="17"/>
        <v>22124.55766403125</v>
      </c>
      <c r="X73" s="199">
        <f t="shared" si="17"/>
        <v>22124.55766403125</v>
      </c>
      <c r="Y73" s="199">
        <f t="shared" si="17"/>
        <v>22124.55766403125</v>
      </c>
      <c r="Z73" s="199">
        <f t="shared" si="17"/>
        <v>22124.55766403125</v>
      </c>
      <c r="AA73" s="199">
        <f t="shared" si="17"/>
        <v>22124.55766403125</v>
      </c>
      <c r="AB73" s="199">
        <f t="shared" si="17"/>
        <v>22124.55766403125</v>
      </c>
      <c r="AC73" s="199">
        <f t="shared" si="17"/>
        <v>22124.55766403125</v>
      </c>
      <c r="AD73" s="199">
        <f t="shared" si="17"/>
        <v>22124.55766403125</v>
      </c>
    </row>
    <row r="74" spans="2:30" x14ac:dyDescent="0.25">
      <c r="B74" s="207" t="s">
        <v>332</v>
      </c>
      <c r="C74" s="201">
        <f>SUM(F74:AD74)</f>
        <v>276910.93025880982</v>
      </c>
      <c r="F74" s="201">
        <f>F57*$C67</f>
        <v>131078.97217005616</v>
      </c>
      <c r="G74" s="201">
        <f t="shared" ref="G74:AD76" si="18">G57*$C67</f>
        <v>145831.95808875363</v>
      </c>
      <c r="H74" s="201">
        <f t="shared" si="18"/>
        <v>0</v>
      </c>
      <c r="I74" s="201">
        <f t="shared" si="18"/>
        <v>0</v>
      </c>
      <c r="J74" s="201">
        <f t="shared" si="18"/>
        <v>0</v>
      </c>
      <c r="K74" s="201">
        <f t="shared" si="18"/>
        <v>0</v>
      </c>
      <c r="L74" s="201">
        <f t="shared" si="18"/>
        <v>0</v>
      </c>
      <c r="M74" s="201">
        <f t="shared" si="18"/>
        <v>0</v>
      </c>
      <c r="N74" s="201">
        <f t="shared" si="18"/>
        <v>0</v>
      </c>
      <c r="O74" s="201">
        <f t="shared" si="18"/>
        <v>0</v>
      </c>
      <c r="P74" s="201">
        <f t="shared" si="18"/>
        <v>0</v>
      </c>
      <c r="Q74" s="201">
        <f t="shared" si="18"/>
        <v>0</v>
      </c>
      <c r="R74" s="201">
        <f t="shared" si="18"/>
        <v>0</v>
      </c>
      <c r="S74" s="201">
        <f t="shared" si="18"/>
        <v>0</v>
      </c>
      <c r="T74" s="201">
        <f t="shared" si="18"/>
        <v>0</v>
      </c>
      <c r="U74" s="201">
        <f t="shared" si="18"/>
        <v>0</v>
      </c>
      <c r="V74" s="201">
        <f t="shared" si="18"/>
        <v>0</v>
      </c>
      <c r="W74" s="201">
        <f t="shared" si="18"/>
        <v>0</v>
      </c>
      <c r="X74" s="201">
        <f t="shared" si="18"/>
        <v>0</v>
      </c>
      <c r="Y74" s="201">
        <f t="shared" si="18"/>
        <v>0</v>
      </c>
      <c r="Z74" s="201">
        <f t="shared" si="18"/>
        <v>0</v>
      </c>
      <c r="AA74" s="201">
        <f t="shared" si="18"/>
        <v>0</v>
      </c>
      <c r="AB74" s="201">
        <f t="shared" si="18"/>
        <v>0</v>
      </c>
      <c r="AC74" s="201">
        <f t="shared" si="18"/>
        <v>0</v>
      </c>
      <c r="AD74" s="201">
        <f t="shared" si="18"/>
        <v>0</v>
      </c>
    </row>
    <row r="75" spans="2:30" x14ac:dyDescent="0.25">
      <c r="B75" s="207" t="s">
        <v>333</v>
      </c>
      <c r="C75" s="201">
        <f>SUM(F75:AD75)</f>
        <v>3700066.2241080925</v>
      </c>
      <c r="F75" s="201">
        <f t="shared" ref="F75:U76" si="19">F58*$C68</f>
        <v>0</v>
      </c>
      <c r="G75" s="201">
        <f t="shared" si="19"/>
        <v>1631686.2443496911</v>
      </c>
      <c r="H75" s="201">
        <f t="shared" si="19"/>
        <v>1544778.6677584015</v>
      </c>
      <c r="I75" s="201">
        <f t="shared" si="19"/>
        <v>523601.31199999974</v>
      </c>
      <c r="J75" s="201">
        <f t="shared" si="19"/>
        <v>0</v>
      </c>
      <c r="K75" s="201">
        <f t="shared" si="19"/>
        <v>0</v>
      </c>
      <c r="L75" s="201">
        <f t="shared" si="19"/>
        <v>0</v>
      </c>
      <c r="M75" s="201">
        <f t="shared" si="19"/>
        <v>0</v>
      </c>
      <c r="N75" s="201">
        <f t="shared" si="19"/>
        <v>0</v>
      </c>
      <c r="O75" s="201">
        <f t="shared" si="19"/>
        <v>0</v>
      </c>
      <c r="P75" s="201">
        <f t="shared" si="19"/>
        <v>0</v>
      </c>
      <c r="Q75" s="201">
        <f t="shared" si="19"/>
        <v>0</v>
      </c>
      <c r="R75" s="201">
        <f t="shared" si="19"/>
        <v>0</v>
      </c>
      <c r="S75" s="201">
        <f t="shared" si="19"/>
        <v>0</v>
      </c>
      <c r="T75" s="201">
        <f t="shared" si="19"/>
        <v>0</v>
      </c>
      <c r="U75" s="201">
        <f t="shared" si="19"/>
        <v>0</v>
      </c>
      <c r="V75" s="201">
        <f t="shared" si="18"/>
        <v>0</v>
      </c>
      <c r="W75" s="201">
        <f t="shared" si="18"/>
        <v>0</v>
      </c>
      <c r="X75" s="201">
        <f t="shared" si="18"/>
        <v>0</v>
      </c>
      <c r="Y75" s="201">
        <f t="shared" si="18"/>
        <v>0</v>
      </c>
      <c r="Z75" s="201">
        <f t="shared" si="18"/>
        <v>0</v>
      </c>
      <c r="AA75" s="201">
        <f t="shared" si="18"/>
        <v>0</v>
      </c>
      <c r="AB75" s="201">
        <f t="shared" si="18"/>
        <v>0</v>
      </c>
      <c r="AC75" s="201">
        <f t="shared" si="18"/>
        <v>0</v>
      </c>
      <c r="AD75" s="201">
        <f t="shared" si="18"/>
        <v>0</v>
      </c>
    </row>
    <row r="76" spans="2:30" x14ac:dyDescent="0.25">
      <c r="B76" s="207" t="s">
        <v>334</v>
      </c>
      <c r="C76" s="201">
        <f t="shared" ref="C76:C77" si="20">SUM(F76:AD76)</f>
        <v>31311.071622070071</v>
      </c>
      <c r="F76" s="201">
        <f t="shared" si="19"/>
        <v>0</v>
      </c>
      <c r="G76" s="201">
        <f t="shared" si="18"/>
        <v>0</v>
      </c>
      <c r="H76" s="201">
        <f t="shared" si="18"/>
        <v>0</v>
      </c>
      <c r="I76" s="201">
        <f t="shared" si="18"/>
        <v>0</v>
      </c>
      <c r="J76" s="201">
        <f t="shared" si="18"/>
        <v>3780.8911541193384</v>
      </c>
      <c r="K76" s="201">
        <f t="shared" si="18"/>
        <v>3818.1458117782768</v>
      </c>
      <c r="L76" s="201">
        <f t="shared" si="18"/>
        <v>3855.7675547249696</v>
      </c>
      <c r="M76" s="201">
        <f t="shared" si="18"/>
        <v>3893.7599999999979</v>
      </c>
      <c r="N76" s="201">
        <f t="shared" si="18"/>
        <v>3932.1268002841116</v>
      </c>
      <c r="O76" s="201">
        <f t="shared" si="18"/>
        <v>3970.8716442494065</v>
      </c>
      <c r="P76" s="201">
        <f t="shared" si="18"/>
        <v>4009.9982569139684</v>
      </c>
      <c r="Q76" s="201">
        <f t="shared" si="18"/>
        <v>4049.5103999999978</v>
      </c>
      <c r="R76" s="201">
        <f t="shared" si="18"/>
        <v>0</v>
      </c>
      <c r="S76" s="201">
        <f t="shared" si="18"/>
        <v>0</v>
      </c>
      <c r="T76" s="201">
        <f t="shared" si="18"/>
        <v>0</v>
      </c>
      <c r="U76" s="201">
        <f t="shared" si="18"/>
        <v>0</v>
      </c>
      <c r="V76" s="201">
        <f t="shared" si="18"/>
        <v>0</v>
      </c>
      <c r="W76" s="201">
        <f t="shared" si="18"/>
        <v>0</v>
      </c>
      <c r="X76" s="201">
        <f t="shared" si="18"/>
        <v>0</v>
      </c>
      <c r="Y76" s="201">
        <f t="shared" si="18"/>
        <v>0</v>
      </c>
      <c r="Z76" s="201">
        <f t="shared" si="18"/>
        <v>0</v>
      </c>
      <c r="AA76" s="201">
        <f t="shared" si="18"/>
        <v>0</v>
      </c>
      <c r="AB76" s="201">
        <f t="shared" si="18"/>
        <v>0</v>
      </c>
      <c r="AC76" s="201">
        <f t="shared" si="18"/>
        <v>0</v>
      </c>
      <c r="AD76" s="201">
        <f t="shared" si="18"/>
        <v>0</v>
      </c>
    </row>
    <row r="77" spans="2:30" x14ac:dyDescent="0.25">
      <c r="B77" s="207" t="s">
        <v>347</v>
      </c>
      <c r="C77" s="201">
        <f t="shared" si="20"/>
        <v>353992.92262450012</v>
      </c>
      <c r="F77" s="201">
        <v>0</v>
      </c>
      <c r="G77" s="201">
        <v>0</v>
      </c>
      <c r="H77" s="201">
        <v>0</v>
      </c>
      <c r="I77" s="201">
        <v>0</v>
      </c>
      <c r="J77" s="201">
        <v>0</v>
      </c>
      <c r="K77" s="201">
        <v>0</v>
      </c>
      <c r="L77" s="201">
        <v>0</v>
      </c>
      <c r="M77" s="201">
        <v>0</v>
      </c>
      <c r="N77" s="201">
        <v>0</v>
      </c>
      <c r="O77" s="201">
        <f>'[1]Сводные данные с индексацией'!L35</f>
        <v>22124.55766403125</v>
      </c>
      <c r="P77" s="201">
        <f>'[1]Сводные данные с индексацией'!M35</f>
        <v>22124.55766403125</v>
      </c>
      <c r="Q77" s="201">
        <f>'[1]Сводные данные с индексацией'!N35</f>
        <v>22124.55766403125</v>
      </c>
      <c r="R77" s="201">
        <f>'[1]Сводные данные с индексацией'!O35</f>
        <v>22124.55766403125</v>
      </c>
      <c r="S77" s="201">
        <f>'[1]Сводные данные с индексацией'!P35</f>
        <v>22124.55766403125</v>
      </c>
      <c r="T77" s="201">
        <f>'[1]Сводные данные с индексацией'!Q35</f>
        <v>22124.55766403125</v>
      </c>
      <c r="U77" s="201">
        <f>'[1]Сводные данные с индексацией'!R35</f>
        <v>22124.55766403125</v>
      </c>
      <c r="V77" s="201">
        <f>'[1]Сводные данные с индексацией'!S35</f>
        <v>22124.55766403125</v>
      </c>
      <c r="W77" s="201">
        <f>'[1]Сводные данные с индексацией'!T35</f>
        <v>22124.55766403125</v>
      </c>
      <c r="X77" s="201">
        <f>'[1]Сводные данные с индексацией'!U35</f>
        <v>22124.55766403125</v>
      </c>
      <c r="Y77" s="201">
        <f>'[1]Сводные данные с индексацией'!V35</f>
        <v>22124.55766403125</v>
      </c>
      <c r="Z77" s="201">
        <f>'[1]Сводные данные с индексацией'!W35</f>
        <v>22124.55766403125</v>
      </c>
      <c r="AA77" s="201">
        <f>'[1]Сводные данные с индексацией'!X35</f>
        <v>22124.55766403125</v>
      </c>
      <c r="AB77" s="201">
        <f>'[1]Сводные данные с индексацией'!Y35</f>
        <v>22124.55766403125</v>
      </c>
      <c r="AC77" s="201">
        <f>'[1]Сводные данные с индексацией'!Z35</f>
        <v>22124.55766403125</v>
      </c>
      <c r="AD77" s="201">
        <f>'[1]Сводные данные с индексацией'!AA35</f>
        <v>22124.55766403125</v>
      </c>
    </row>
    <row r="78" spans="2:30" x14ac:dyDescent="0.25">
      <c r="B78" s="207" t="s">
        <v>335</v>
      </c>
      <c r="C78" s="201">
        <f>SUM(F78:AD78)</f>
        <v>138466.14906453469</v>
      </c>
      <c r="F78" s="201">
        <f>F60*$C71</f>
        <v>33010.052366592594</v>
      </c>
      <c r="G78" s="201">
        <f t="shared" ref="G78:AD78" si="21">G60*$C71</f>
        <v>33335.313832763386</v>
      </c>
      <c r="H78" s="201">
        <f t="shared" si="21"/>
        <v>33663.78023239506</v>
      </c>
      <c r="I78" s="201">
        <f t="shared" si="21"/>
        <v>33995.483144999998</v>
      </c>
      <c r="J78" s="201">
        <f t="shared" si="21"/>
        <v>538.73977131470735</v>
      </c>
      <c r="K78" s="201">
        <f t="shared" si="21"/>
        <v>544.04819330556973</v>
      </c>
      <c r="L78" s="201">
        <f t="shared" si="21"/>
        <v>549.40892133644138</v>
      </c>
      <c r="M78" s="201">
        <f t="shared" si="21"/>
        <v>554.82247079999968</v>
      </c>
      <c r="N78" s="201">
        <f t="shared" si="21"/>
        <v>560.28936216729551</v>
      </c>
      <c r="O78" s="201">
        <f t="shared" si="21"/>
        <v>565.81012103779244</v>
      </c>
      <c r="P78" s="201">
        <f t="shared" si="21"/>
        <v>571.38527818989905</v>
      </c>
      <c r="Q78" s="201">
        <f t="shared" si="21"/>
        <v>577.01536963199976</v>
      </c>
      <c r="R78" s="201">
        <f t="shared" si="21"/>
        <v>0</v>
      </c>
      <c r="S78" s="201">
        <f t="shared" si="21"/>
        <v>0</v>
      </c>
      <c r="T78" s="201">
        <f t="shared" si="21"/>
        <v>0</v>
      </c>
      <c r="U78" s="201">
        <f t="shared" si="21"/>
        <v>0</v>
      </c>
      <c r="V78" s="201">
        <f t="shared" si="21"/>
        <v>0</v>
      </c>
      <c r="W78" s="201">
        <f t="shared" si="21"/>
        <v>0</v>
      </c>
      <c r="X78" s="201">
        <f t="shared" si="21"/>
        <v>0</v>
      </c>
      <c r="Y78" s="201">
        <f t="shared" si="21"/>
        <v>0</v>
      </c>
      <c r="Z78" s="201">
        <f t="shared" si="21"/>
        <v>0</v>
      </c>
      <c r="AA78" s="201">
        <f t="shared" si="21"/>
        <v>0</v>
      </c>
      <c r="AB78" s="201">
        <f t="shared" si="21"/>
        <v>0</v>
      </c>
      <c r="AC78" s="201">
        <f t="shared" si="21"/>
        <v>0</v>
      </c>
      <c r="AD78" s="201">
        <f t="shared" si="21"/>
        <v>0</v>
      </c>
    </row>
    <row r="80" spans="2:30" x14ac:dyDescent="0.25">
      <c r="B80" s="206" t="s">
        <v>356</v>
      </c>
      <c r="C80" s="212"/>
    </row>
    <row r="81" spans="1:30" x14ac:dyDescent="0.25">
      <c r="B81" s="207" t="s">
        <v>357</v>
      </c>
      <c r="C81" s="218">
        <f>SUM(F81:AF81)</f>
        <v>41358009.593509518</v>
      </c>
      <c r="F81" s="201">
        <f>F56-F62</f>
        <v>1756043.4714484653</v>
      </c>
      <c r="G81" s="201">
        <f t="shared" ref="G81:AD81" si="22">G56-G62</f>
        <v>18224823.040346071</v>
      </c>
      <c r="H81" s="201">
        <f t="shared" si="22"/>
        <v>15901858.189276999</v>
      </c>
      <c r="I81" s="201">
        <f t="shared" si="22"/>
        <v>5694558.7828999972</v>
      </c>
      <c r="J81" s="201">
        <f t="shared" si="22"/>
        <v>27524.292111632007</v>
      </c>
      <c r="K81" s="201">
        <f t="shared" si="22"/>
        <v>27795.500151780496</v>
      </c>
      <c r="L81" s="201">
        <f t="shared" si="22"/>
        <v>28069.38051500791</v>
      </c>
      <c r="M81" s="201">
        <f t="shared" si="22"/>
        <v>-417747.59635535209</v>
      </c>
      <c r="N81" s="201">
        <f t="shared" si="22"/>
        <v>28625.263796097286</v>
      </c>
      <c r="O81" s="201">
        <f t="shared" si="22"/>
        <v>28907.320157851707</v>
      </c>
      <c r="P81" s="201">
        <f t="shared" si="22"/>
        <v>29192.155735608223</v>
      </c>
      <c r="Q81" s="201">
        <f t="shared" si="22"/>
        <v>28359.793425346277</v>
      </c>
      <c r="R81" s="201">
        <f t="shared" si="22"/>
        <v>0</v>
      </c>
      <c r="S81" s="201">
        <f t="shared" si="22"/>
        <v>0</v>
      </c>
      <c r="T81" s="201">
        <f t="shared" si="22"/>
        <v>0</v>
      </c>
      <c r="U81" s="201">
        <f t="shared" si="22"/>
        <v>0</v>
      </c>
      <c r="V81" s="201">
        <f t="shared" si="22"/>
        <v>0</v>
      </c>
      <c r="W81" s="201">
        <f t="shared" si="22"/>
        <v>0</v>
      </c>
      <c r="X81" s="201">
        <f t="shared" si="22"/>
        <v>0</v>
      </c>
      <c r="Y81" s="201">
        <f t="shared" si="22"/>
        <v>0</v>
      </c>
      <c r="Z81" s="201">
        <f t="shared" si="22"/>
        <v>0</v>
      </c>
      <c r="AA81" s="201">
        <f t="shared" si="22"/>
        <v>0</v>
      </c>
      <c r="AB81" s="201">
        <f t="shared" si="22"/>
        <v>0</v>
      </c>
      <c r="AC81" s="201">
        <f t="shared" si="22"/>
        <v>0</v>
      </c>
      <c r="AD81" s="201">
        <f t="shared" si="22"/>
        <v>0</v>
      </c>
    </row>
    <row r="82" spans="1:30" x14ac:dyDescent="0.25">
      <c r="B82" s="207" t="s">
        <v>358</v>
      </c>
      <c r="C82" s="218">
        <f t="shared" ref="C82:C83" si="23">SUM(F82:AF82)</f>
        <v>39983194.523890428</v>
      </c>
      <c r="F82" s="201">
        <f t="shared" ref="F82:AD82" si="24">F81/(1+$C47)^F5</f>
        <v>1733229.2827778358</v>
      </c>
      <c r="G82" s="201">
        <f t="shared" si="24"/>
        <v>17754352.165967274</v>
      </c>
      <c r="H82" s="201">
        <f t="shared" si="24"/>
        <v>15290093.498473594</v>
      </c>
      <c r="I82" s="201">
        <f t="shared" si="24"/>
        <v>5404345.433140358</v>
      </c>
      <c r="J82" s="201">
        <f t="shared" si="24"/>
        <v>25782.197638163623</v>
      </c>
      <c r="K82" s="201">
        <f t="shared" si="24"/>
        <v>25697.982146445534</v>
      </c>
      <c r="L82" s="201">
        <f t="shared" si="24"/>
        <v>25614.041737912543</v>
      </c>
      <c r="M82" s="201">
        <f t="shared" si="24"/>
        <v>-376253.02444580797</v>
      </c>
      <c r="N82" s="201">
        <f t="shared" si="24"/>
        <v>25446.982579187777</v>
      </c>
      <c r="O82" s="201">
        <f t="shared" si="24"/>
        <v>25363.862040716849</v>
      </c>
      <c r="P82" s="201">
        <f t="shared" si="24"/>
        <v>25281.013008853599</v>
      </c>
      <c r="Q82" s="201">
        <f t="shared" si="24"/>
        <v>24241.088825905772</v>
      </c>
      <c r="R82" s="201">
        <f t="shared" si="24"/>
        <v>0</v>
      </c>
      <c r="S82" s="201">
        <f t="shared" si="24"/>
        <v>0</v>
      </c>
      <c r="T82" s="201">
        <f t="shared" si="24"/>
        <v>0</v>
      </c>
      <c r="U82" s="201">
        <f t="shared" si="24"/>
        <v>0</v>
      </c>
      <c r="V82" s="201">
        <f t="shared" si="24"/>
        <v>0</v>
      </c>
      <c r="W82" s="201">
        <f t="shared" si="24"/>
        <v>0</v>
      </c>
      <c r="X82" s="201">
        <f t="shared" si="24"/>
        <v>0</v>
      </c>
      <c r="Y82" s="201">
        <f t="shared" si="24"/>
        <v>0</v>
      </c>
      <c r="Z82" s="201">
        <f t="shared" si="24"/>
        <v>0</v>
      </c>
      <c r="AA82" s="201">
        <f t="shared" si="24"/>
        <v>0</v>
      </c>
      <c r="AB82" s="201">
        <f t="shared" si="24"/>
        <v>0</v>
      </c>
      <c r="AC82" s="201">
        <f t="shared" si="24"/>
        <v>0</v>
      </c>
      <c r="AD82" s="201">
        <f t="shared" si="24"/>
        <v>0</v>
      </c>
    </row>
    <row r="83" spans="1:30" x14ac:dyDescent="0.25">
      <c r="B83" s="207" t="s">
        <v>359</v>
      </c>
      <c r="C83" s="218">
        <f t="shared" si="23"/>
        <v>4287059.3847359819</v>
      </c>
      <c r="F83" s="201">
        <f t="shared" ref="F83:AD83" si="25">F73/(1+$C47)^F5</f>
        <v>161957.21058931475</v>
      </c>
      <c r="G83" s="201">
        <f t="shared" si="25"/>
        <v>1764106.624118347</v>
      </c>
      <c r="H83" s="201">
        <f t="shared" si="25"/>
        <v>1517717.7613125308</v>
      </c>
      <c r="I83" s="201">
        <f t="shared" si="25"/>
        <v>529179.83785232948</v>
      </c>
      <c r="J83" s="201">
        <f t="shared" si="25"/>
        <v>4046.2286111401368</v>
      </c>
      <c r="K83" s="201">
        <f t="shared" si="25"/>
        <v>4033.011928184198</v>
      </c>
      <c r="L83" s="201">
        <f t="shared" si="25"/>
        <v>4019.8384164687254</v>
      </c>
      <c r="M83" s="201">
        <f t="shared" si="25"/>
        <v>4006.7079349783071</v>
      </c>
      <c r="N83" s="201">
        <f t="shared" si="25"/>
        <v>3993.6203431581484</v>
      </c>
      <c r="O83" s="201">
        <f t="shared" si="25"/>
        <v>23393.105795594747</v>
      </c>
      <c r="P83" s="201">
        <f t="shared" si="25"/>
        <v>23127.89959685885</v>
      </c>
      <c r="Q83" s="201">
        <f t="shared" si="25"/>
        <v>22866.012455685905</v>
      </c>
      <c r="R83" s="201">
        <f t="shared" si="25"/>
        <v>18665.705587023414</v>
      </c>
      <c r="S83" s="201">
        <f t="shared" si="25"/>
        <v>18423.204227656995</v>
      </c>
      <c r="T83" s="201">
        <f t="shared" si="25"/>
        <v>18183.853400640957</v>
      </c>
      <c r="U83" s="201">
        <f t="shared" si="25"/>
        <v>17947.612174847665</v>
      </c>
      <c r="V83" s="201">
        <f t="shared" si="25"/>
        <v>17714.440150919057</v>
      </c>
      <c r="W83" s="201">
        <f t="shared" si="25"/>
        <v>17484.297454357966</v>
      </c>
      <c r="X83" s="201">
        <f t="shared" si="25"/>
        <v>17257.144728709263</v>
      </c>
      <c r="Y83" s="201">
        <f t="shared" si="25"/>
        <v>17032.943128829516</v>
      </c>
      <c r="Z83" s="201">
        <f t="shared" si="25"/>
        <v>16811.654314244141</v>
      </c>
      <c r="AA83" s="201">
        <f t="shared" si="25"/>
        <v>16593.240442590835</v>
      </c>
      <c r="AB83" s="201">
        <f t="shared" si="25"/>
        <v>16377.664163148202</v>
      </c>
      <c r="AC83" s="201">
        <f t="shared" si="25"/>
        <v>16164.88861044843</v>
      </c>
      <c r="AD83" s="201">
        <f t="shared" si="25"/>
        <v>15954.877397972987</v>
      </c>
    </row>
    <row r="85" spans="1:30" x14ac:dyDescent="0.25">
      <c r="A85" s="226"/>
      <c r="B85" s="226" t="s">
        <v>365</v>
      </c>
      <c r="C85" s="226"/>
      <c r="D85" s="226"/>
    </row>
    <row r="86" spans="1:30" ht="90" x14ac:dyDescent="0.25">
      <c r="A86" s="231" t="s">
        <v>366</v>
      </c>
      <c r="B86" s="231" t="s">
        <v>367</v>
      </c>
      <c r="C86" s="231" t="s">
        <v>368</v>
      </c>
      <c r="D86" s="231" t="s">
        <v>369</v>
      </c>
    </row>
    <row r="87" spans="1:30" x14ac:dyDescent="0.25">
      <c r="A87" s="232">
        <v>1</v>
      </c>
      <c r="B87" s="232">
        <v>2</v>
      </c>
      <c r="C87" s="232">
        <v>3</v>
      </c>
      <c r="D87" s="232">
        <v>4</v>
      </c>
    </row>
    <row r="88" spans="1:30" ht="30" x14ac:dyDescent="0.25">
      <c r="A88" s="228">
        <v>1</v>
      </c>
      <c r="B88" s="229" t="s">
        <v>370</v>
      </c>
      <c r="C88" s="230">
        <f>C51</f>
        <v>40359515.60016188</v>
      </c>
      <c r="D88" s="230">
        <f>C82</f>
        <v>39983194.523890428</v>
      </c>
    </row>
    <row r="89" spans="1:30" ht="28.5" x14ac:dyDescent="0.25">
      <c r="A89" s="233">
        <v>2</v>
      </c>
      <c r="B89" s="234" t="s">
        <v>371</v>
      </c>
      <c r="C89" s="235">
        <f>C10</f>
        <v>0</v>
      </c>
      <c r="D89" s="235">
        <f>C58</f>
        <v>37000662.241080925</v>
      </c>
    </row>
    <row r="90" spans="1:30" ht="28.5" x14ac:dyDescent="0.25">
      <c r="A90" s="233">
        <v>3</v>
      </c>
      <c r="B90" s="234" t="s">
        <v>372</v>
      </c>
      <c r="C90" s="235">
        <f>C11</f>
        <v>263631.82581715926</v>
      </c>
      <c r="D90" s="235">
        <f>C59</f>
        <v>156555.35811035035</v>
      </c>
    </row>
    <row r="91" spans="1:30" ht="28.5" x14ac:dyDescent="0.25">
      <c r="A91" s="233">
        <v>4</v>
      </c>
      <c r="B91" s="234" t="s">
        <v>373</v>
      </c>
      <c r="C91" s="235">
        <f>C9</f>
        <v>0</v>
      </c>
      <c r="D91" s="235">
        <f>C57</f>
        <v>2769109.3025880978</v>
      </c>
    </row>
    <row r="92" spans="1:30" ht="28.5" x14ac:dyDescent="0.25">
      <c r="A92" s="233">
        <v>5</v>
      </c>
      <c r="B92" s="234" t="s">
        <v>374</v>
      </c>
      <c r="C92" s="235">
        <f>C12</f>
        <v>44501662.849510811</v>
      </c>
      <c r="D92" s="235">
        <f>C60</f>
        <v>2769322.9812906948</v>
      </c>
    </row>
    <row r="93" spans="1:30" x14ac:dyDescent="0.25">
      <c r="A93" s="233">
        <v>6</v>
      </c>
      <c r="B93" s="234" t="s">
        <v>375</v>
      </c>
      <c r="C93" s="235">
        <f>C14</f>
        <v>1337640.2895605625</v>
      </c>
      <c r="D93" s="235">
        <f>C62</f>
        <v>1337640.2895605625</v>
      </c>
    </row>
    <row r="94" spans="1:30" ht="28.5" x14ac:dyDescent="0.25">
      <c r="A94" s="233">
        <v>7</v>
      </c>
      <c r="B94" s="234" t="s">
        <v>376</v>
      </c>
      <c r="C94" s="236">
        <f>C46</f>
        <v>5.3699999999999998E-2</v>
      </c>
      <c r="D94" s="236">
        <f>C46</f>
        <v>5.3699999999999998E-2</v>
      </c>
    </row>
    <row r="95" spans="1:30" x14ac:dyDescent="0.25">
      <c r="A95" s="228">
        <v>8</v>
      </c>
      <c r="B95" s="229" t="s">
        <v>386</v>
      </c>
      <c r="C95" s="237">
        <f>C52</f>
        <v>2427424.4968302306</v>
      </c>
      <c r="D95" s="237">
        <f>C83</f>
        <v>4287059.3847359819</v>
      </c>
    </row>
    <row r="96" spans="1:30" x14ac:dyDescent="0.25">
      <c r="A96" s="233">
        <v>9</v>
      </c>
      <c r="B96" s="234" t="s">
        <v>377</v>
      </c>
      <c r="C96" s="238">
        <f>C34</f>
        <v>0</v>
      </c>
      <c r="D96" s="238">
        <f>C75</f>
        <v>3700066.2241080925</v>
      </c>
    </row>
    <row r="97" spans="1:4" x14ac:dyDescent="0.25">
      <c r="A97" s="233">
        <v>10</v>
      </c>
      <c r="B97" s="234" t="s">
        <v>341</v>
      </c>
      <c r="C97" s="238">
        <f>C33</f>
        <v>0</v>
      </c>
      <c r="D97" s="238">
        <f>C74</f>
        <v>276910.93025880982</v>
      </c>
    </row>
    <row r="98" spans="1:4" x14ac:dyDescent="0.25">
      <c r="A98" s="233">
        <v>11</v>
      </c>
      <c r="B98" s="234" t="s">
        <v>378</v>
      </c>
      <c r="C98" s="238">
        <f>C35</f>
        <v>37344.074457722185</v>
      </c>
      <c r="D98" s="238">
        <f>C76</f>
        <v>31311.071622070071</v>
      </c>
    </row>
    <row r="99" spans="1:4" x14ac:dyDescent="0.25">
      <c r="A99" s="233">
        <v>12</v>
      </c>
      <c r="B99" s="234" t="s">
        <v>379</v>
      </c>
      <c r="C99" s="238">
        <f>C36</f>
        <v>54771.309204659206</v>
      </c>
      <c r="D99" s="238">
        <f>C77</f>
        <v>353992.92262450012</v>
      </c>
    </row>
    <row r="100" spans="1:4" x14ac:dyDescent="0.25">
      <c r="A100" s="233">
        <v>13</v>
      </c>
      <c r="B100" s="234" t="s">
        <v>345</v>
      </c>
      <c r="C100" s="238">
        <f>C37</f>
        <v>2521506.5074839126</v>
      </c>
      <c r="D100" s="238">
        <f>C78</f>
        <v>138466.14906453469</v>
      </c>
    </row>
    <row r="101" spans="1:4" x14ac:dyDescent="0.25">
      <c r="A101" s="228">
        <v>13</v>
      </c>
      <c r="B101" s="239" t="s">
        <v>380</v>
      </c>
      <c r="C101" s="275">
        <f>1-(C88+C95)/(D88+D95)</f>
        <v>3.3505879923251602E-2</v>
      </c>
      <c r="D101" s="275"/>
    </row>
  </sheetData>
  <mergeCells count="1">
    <mergeCell ref="C101:D101"/>
  </mergeCells>
  <conditionalFormatting sqref="C50:C52 C43:C45">
    <cfRule type="containsText" dxfId="7" priority="7" operator="containsText" text="ОШИБКА">
      <formula>NOT(ISERROR(SEARCH("ОШИБКА",C43)))</formula>
    </cfRule>
    <cfRule type="containsText" dxfId="6" priority="8" operator="containsText" text="ВЕРНО">
      <formula>NOT(ISERROR(SEARCH("ВЕРНО",C43)))</formula>
    </cfRule>
  </conditionalFormatting>
  <conditionalFormatting sqref="C62:C64">
    <cfRule type="containsText" dxfId="5" priority="5" operator="containsText" text="ОШИБКА">
      <formula>NOT(ISERROR(SEARCH("ОШИБКА",C62)))</formula>
    </cfRule>
    <cfRule type="containsText" dxfId="4" priority="6" operator="containsText" text="ВЕРНО">
      <formula>NOT(ISERROR(SEARCH("ВЕРНО",C62)))</formula>
    </cfRule>
  </conditionalFormatting>
  <conditionalFormatting sqref="C56:C60">
    <cfRule type="containsText" dxfId="3" priority="3" operator="containsText" text="ОШИБКА">
      <formula>NOT(ISERROR(SEARCH("ОШИБКА",C56)))</formula>
    </cfRule>
    <cfRule type="containsText" dxfId="2" priority="4" operator="containsText" text="ВЕРНО">
      <formula>NOT(ISERROR(SEARCH("ВЕРНО",C56)))</formula>
    </cfRule>
  </conditionalFormatting>
  <conditionalFormatting sqref="C81:C83">
    <cfRule type="containsText" dxfId="1" priority="1" operator="containsText" text="ОШИБКА">
      <formula>NOT(ISERROR(SEARCH("ОШИБКА",C81)))</formula>
    </cfRule>
    <cfRule type="containsText" dxfId="0" priority="2" operator="containsText" text="ВЕРНО">
      <formula>NOT(ISERROR(SEARCH("ВЕРНО",C81)))</formula>
    </cfRule>
  </conditionalFormatting>
  <hyperlinks>
    <hyperlink ref="A1" location="Структура!A1" display="к содержанию"/>
  </hyperlinks>
  <pageMargins left="0.7" right="0.7" top="0.75" bottom="0.75" header="0.3" footer="0.3"/>
  <pageSetup paperSize="9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A13"/>
  <sheetViews>
    <sheetView workbookViewId="0">
      <pane xSplit="2" ySplit="3" topLeftCell="C4" activePane="bottomRight" state="frozen"/>
      <selection activeCell="G39" sqref="G39"/>
      <selection pane="topRight" activeCell="G39" sqref="G39"/>
      <selection pane="bottomLeft" activeCell="G39" sqref="G39"/>
      <selection pane="bottomRight" activeCell="G3" sqref="G3"/>
    </sheetView>
  </sheetViews>
  <sheetFormatPr defaultRowHeight="15" x14ac:dyDescent="0.25"/>
  <cols>
    <col min="1" max="1" width="8.5703125" customWidth="1"/>
    <col min="2" max="2" width="47.85546875" customWidth="1"/>
    <col min="3" max="5" width="9.7109375" bestFit="1" customWidth="1"/>
  </cols>
  <sheetData>
    <row r="1" spans="1:27" x14ac:dyDescent="0.25">
      <c r="A1" s="1" t="s">
        <v>1</v>
      </c>
    </row>
    <row r="3" spans="1:27" ht="18.75" x14ac:dyDescent="0.3">
      <c r="B3" s="16" t="s">
        <v>415</v>
      </c>
      <c r="C3" t="s">
        <v>25</v>
      </c>
      <c r="D3" t="s">
        <v>26</v>
      </c>
      <c r="E3" t="s">
        <v>27</v>
      </c>
      <c r="F3" t="s">
        <v>28</v>
      </c>
      <c r="G3" t="s">
        <v>29</v>
      </c>
      <c r="H3" t="s">
        <v>30</v>
      </c>
      <c r="I3" t="s">
        <v>31</v>
      </c>
      <c r="J3" t="s">
        <v>32</v>
      </c>
      <c r="K3" t="s">
        <v>33</v>
      </c>
      <c r="L3" t="s">
        <v>34</v>
      </c>
      <c r="M3" t="s">
        <v>35</v>
      </c>
      <c r="N3" t="s">
        <v>36</v>
      </c>
      <c r="O3" t="s">
        <v>37</v>
      </c>
      <c r="P3" t="s">
        <v>38</v>
      </c>
      <c r="Q3" t="s">
        <v>39</v>
      </c>
      <c r="R3" t="s">
        <v>40</v>
      </c>
      <c r="S3" t="s">
        <v>41</v>
      </c>
      <c r="T3" t="s">
        <v>42</v>
      </c>
      <c r="U3" t="s">
        <v>43</v>
      </c>
      <c r="V3" t="s">
        <v>44</v>
      </c>
      <c r="W3" t="s">
        <v>45</v>
      </c>
      <c r="X3" t="s">
        <v>46</v>
      </c>
      <c r="Y3" t="s">
        <v>47</v>
      </c>
      <c r="Z3" t="s">
        <v>48</v>
      </c>
      <c r="AA3" t="s">
        <v>255</v>
      </c>
    </row>
    <row r="4" spans="1:27" x14ac:dyDescent="0.25">
      <c r="B4" s="18" t="s">
        <v>416</v>
      </c>
      <c r="C4" s="251">
        <f>'Сводные данные с индексацией'!C30+'Сводные данные с индексацией'!C31*5/6</f>
        <v>0</v>
      </c>
      <c r="D4" s="251">
        <f>'Сводные данные с индексацией'!D30+'Сводные данные с индексацией'!D31*5/6</f>
        <v>0</v>
      </c>
      <c r="E4" s="251">
        <f>'Сводные данные с индексацией'!E30+'Сводные данные с индексацией'!E31*5/6</f>
        <v>0</v>
      </c>
      <c r="F4" s="251">
        <f>'Сводные данные с индексацией'!F30+'Сводные данные с индексацией'!F31*5/6</f>
        <v>0</v>
      </c>
      <c r="G4" s="251">
        <f>'Сводные данные с индексацией'!G30+'Сводные данные с индексацией'!G31*5/6</f>
        <v>20026528.508568458</v>
      </c>
      <c r="H4" s="251">
        <f>'Сводные данные с индексацией'!H30+'Сводные данные с индексацией'!H31*5/6</f>
        <v>24528452.754259333</v>
      </c>
      <c r="I4" s="251">
        <f>'Сводные данные с индексацией'!I30+'Сводные данные с индексацией'!I31*5/6</f>
        <v>27053.876571416196</v>
      </c>
      <c r="J4" s="251">
        <f>'Сводные данные с индексацией'!J30+'Сводные данные с индексацией'!J31*5/6</f>
        <v>27320.449415999989</v>
      </c>
      <c r="K4" s="251">
        <f>'Сводные данные с индексацией'!K30+'Сводные данные с индексацией'!K31*5/6</f>
        <v>27589.648911196371</v>
      </c>
      <c r="L4" s="251">
        <f>'Сводные данные с индексацией'!L30+'Сводные данные с индексацией'!L31*5/6</f>
        <v>27861.500938461711</v>
      </c>
      <c r="M4" s="251">
        <f>'Сводные данные с индексацией'!M30+'Сводные данные с индексацией'!M31*5/6</f>
        <v>28136.031634272851</v>
      </c>
      <c r="N4" s="251">
        <f>'Сводные данные с индексацией'!N30+'Сводные данные с индексацией'!N31*5/6</f>
        <v>28413.267392639984</v>
      </c>
      <c r="O4" s="251">
        <f>'Сводные данные с индексацией'!O30+'Сводные данные с индексацией'!O31*5/6</f>
        <v>0</v>
      </c>
      <c r="P4" s="251">
        <f>'Сводные данные с индексацией'!P30+'Сводные данные с индексацией'!P31*5/6</f>
        <v>0</v>
      </c>
      <c r="Q4" s="251">
        <f>'Сводные данные с индексацией'!Q30+'Сводные данные с индексацией'!Q31*5/6</f>
        <v>0</v>
      </c>
      <c r="R4" s="251">
        <f>'Сводные данные с индексацией'!R30+'Сводные данные с индексацией'!R31*5/6</f>
        <v>0</v>
      </c>
      <c r="S4" s="251">
        <f>'Сводные данные с индексацией'!S30+'Сводные данные с индексацией'!S31*5/6</f>
        <v>0</v>
      </c>
      <c r="T4" s="251">
        <f>'Сводные данные с индексацией'!T30+'Сводные данные с индексацией'!T31*5/6</f>
        <v>0</v>
      </c>
      <c r="U4" s="251">
        <f>'Сводные данные с индексацией'!U30+'Сводные данные с индексацией'!U31*5/6</f>
        <v>0</v>
      </c>
      <c r="V4" s="251">
        <f>'Сводные данные с индексацией'!V30+'Сводные данные с индексацией'!V31*5/6</f>
        <v>0</v>
      </c>
      <c r="W4" s="251">
        <f>'Сводные данные с индексацией'!W30+'Сводные данные с индексацией'!W31*5/6</f>
        <v>0</v>
      </c>
      <c r="X4" s="251">
        <f>'Сводные данные с индексацией'!X30+'Сводные данные с индексацией'!X31*5/6</f>
        <v>0</v>
      </c>
      <c r="Y4" s="251">
        <f>'Сводные данные с индексацией'!Y30+'Сводные данные с индексацией'!Y31*5/6</f>
        <v>0</v>
      </c>
      <c r="Z4" s="251">
        <f>'Сводные данные с индексацией'!Z30+'Сводные данные с индексацией'!Z31*5/6</f>
        <v>0</v>
      </c>
      <c r="AA4" s="251">
        <f>'Сводные данные с индексацией'!AA30+'Сводные данные с индексацией'!AA31*5/6</f>
        <v>0</v>
      </c>
    </row>
    <row r="5" spans="1:27" x14ac:dyDescent="0.25">
      <c r="B5" s="18" t="s">
        <v>417</v>
      </c>
      <c r="C5" s="251">
        <f>-'Сводные данные с индексацией'!C12-'Сводные данные с индексацией'!C15*5/6</f>
        <v>-1310789.7217005615</v>
      </c>
      <c r="D5" s="251">
        <f>-'Сводные данные с индексацией'!D12-'Сводные данные с индексацией'!D15*5/6</f>
        <v>-17775182.024384446</v>
      </c>
      <c r="E5" s="251">
        <f>-'Сводные данные с индексацией'!E12-'Сводные данные с индексацией'!E15*5/6</f>
        <v>-15447786.677584015</v>
      </c>
      <c r="F5" s="251">
        <f>-'Сводные данные с индексацией'!F12-'Сводные данные с индексацией'!F15*5/6</f>
        <v>-5236013.1199999973</v>
      </c>
      <c r="G5" s="251">
        <f>-'Сводные данные с индексацией'!G12-'Сводные данные с индексацией'!G15*5/6</f>
        <v>-15753.713142163908</v>
      </c>
      <c r="H5" s="251">
        <f>-'Сводные данные с индексацией'!H12-'Сводные данные с индексацией'!H15*5/6</f>
        <v>-15908.940882409486</v>
      </c>
      <c r="I5" s="251">
        <f>-'Сводные данные с индексацией'!I12-'Сводные данные с индексацией'!I15*5/6</f>
        <v>-16065.698144687374</v>
      </c>
      <c r="J5" s="251">
        <f>-'Сводные данные с индексацией'!J12-'Сводные данные с индексацией'!J15*5/6</f>
        <v>-16223.999999999991</v>
      </c>
      <c r="K5" s="251">
        <f>-'Сводные данные с индексацией'!K12-'Сводные данные с индексацией'!K15*5/6</f>
        <v>-16383.861667850462</v>
      </c>
      <c r="L5" s="251">
        <f>-'Сводные данные с индексацией'!L12-'Сводные данные с индексацией'!L15*5/6</f>
        <v>-16545.298517705862</v>
      </c>
      <c r="M5" s="251">
        <f>-'Сводные данные с индексацией'!M12-'Сводные данные с индексацией'!M15*5/6</f>
        <v>-16708.326070474868</v>
      </c>
      <c r="N5" s="251">
        <f>-'Сводные данные с индексацией'!N12-'Сводные данные с индексацией'!N15*5/6</f>
        <v>-16872.959999999992</v>
      </c>
      <c r="O5" s="251">
        <f>-'Сводные данные с индексацией'!O12-'Сводные данные с индексацией'!O15*5/6</f>
        <v>0</v>
      </c>
      <c r="P5" s="251">
        <f>-'Сводные данные с индексацией'!P12-'Сводные данные с индексацией'!P15*5/6</f>
        <v>0</v>
      </c>
      <c r="Q5" s="251">
        <f>-'Сводные данные с индексацией'!Q12-'Сводные данные с индексацией'!Q15*5/6</f>
        <v>0</v>
      </c>
      <c r="R5" s="251">
        <f>-'Сводные данные с индексацией'!R12-'Сводные данные с индексацией'!R15*5/6</f>
        <v>0</v>
      </c>
      <c r="S5" s="251">
        <f>-'Сводные данные с индексацией'!S12-'Сводные данные с индексацией'!S15*5/6</f>
        <v>0</v>
      </c>
      <c r="T5" s="251">
        <f>-'Сводные данные с индексацией'!T12-'Сводные данные с индексацией'!T15*5/6</f>
        <v>0</v>
      </c>
      <c r="U5" s="251">
        <f>-'Сводные данные с индексацией'!U12-'Сводные данные с индексацией'!U15*5/6</f>
        <v>0</v>
      </c>
      <c r="V5" s="251">
        <f>-'Сводные данные с индексацией'!V12-'Сводные данные с индексацией'!V15*5/6</f>
        <v>0</v>
      </c>
      <c r="W5" s="251">
        <f>-'Сводные данные с индексацией'!W12-'Сводные данные с индексацией'!W15*5/6</f>
        <v>0</v>
      </c>
      <c r="X5" s="251">
        <f>-'Сводные данные с индексацией'!X12-'Сводные данные с индексацией'!X15*5/6</f>
        <v>0</v>
      </c>
      <c r="Y5" s="251">
        <f>-'Сводные данные с индексацией'!Y12-'Сводные данные с индексацией'!Y15*5/6</f>
        <v>0</v>
      </c>
      <c r="Z5" s="251">
        <f>-'Сводные данные с индексацией'!Z12-'Сводные данные с индексацией'!Z15*5/6</f>
        <v>0</v>
      </c>
      <c r="AA5" s="251">
        <f>-'Сводные данные с индексацией'!AA12-'Сводные данные с индексацией'!AA15*5/6</f>
        <v>0</v>
      </c>
    </row>
    <row r="6" spans="1:27" x14ac:dyDescent="0.25">
      <c r="B6" s="18" t="s">
        <v>418</v>
      </c>
      <c r="C6" s="252">
        <f>C4+C5</f>
        <v>-1310789.7217005615</v>
      </c>
      <c r="D6" s="252">
        <f t="shared" ref="D6:AA6" si="0">D4+D5</f>
        <v>-17775182.024384446</v>
      </c>
      <c r="E6" s="252">
        <f t="shared" si="0"/>
        <v>-15447786.677584015</v>
      </c>
      <c r="F6" s="252">
        <f t="shared" si="0"/>
        <v>-5236013.1199999973</v>
      </c>
      <c r="G6" s="252">
        <f t="shared" si="0"/>
        <v>20010774.795426294</v>
      </c>
      <c r="H6" s="252">
        <f t="shared" si="0"/>
        <v>24512543.813376922</v>
      </c>
      <c r="I6" s="252">
        <f t="shared" si="0"/>
        <v>10988.178426728822</v>
      </c>
      <c r="J6" s="252">
        <f t="shared" si="0"/>
        <v>11096.449415999998</v>
      </c>
      <c r="K6" s="252">
        <f t="shared" si="0"/>
        <v>11205.787243345909</v>
      </c>
      <c r="L6" s="252">
        <f t="shared" si="0"/>
        <v>11316.20242075585</v>
      </c>
      <c r="M6" s="252">
        <f t="shared" si="0"/>
        <v>11427.705563797983</v>
      </c>
      <c r="N6" s="252">
        <f t="shared" si="0"/>
        <v>11540.307392639992</v>
      </c>
      <c r="O6" s="252">
        <f t="shared" si="0"/>
        <v>0</v>
      </c>
      <c r="P6" s="252">
        <f t="shared" si="0"/>
        <v>0</v>
      </c>
      <c r="Q6" s="252">
        <f t="shared" si="0"/>
        <v>0</v>
      </c>
      <c r="R6" s="252">
        <f t="shared" si="0"/>
        <v>0</v>
      </c>
      <c r="S6" s="252">
        <f t="shared" si="0"/>
        <v>0</v>
      </c>
      <c r="T6" s="252">
        <f t="shared" si="0"/>
        <v>0</v>
      </c>
      <c r="U6" s="252">
        <f t="shared" si="0"/>
        <v>0</v>
      </c>
      <c r="V6" s="252">
        <f t="shared" si="0"/>
        <v>0</v>
      </c>
      <c r="W6" s="252">
        <f t="shared" si="0"/>
        <v>0</v>
      </c>
      <c r="X6" s="252">
        <f t="shared" si="0"/>
        <v>0</v>
      </c>
      <c r="Y6" s="252">
        <f t="shared" si="0"/>
        <v>0</v>
      </c>
      <c r="Z6" s="252">
        <f t="shared" si="0"/>
        <v>0</v>
      </c>
      <c r="AA6" s="252">
        <f t="shared" si="0"/>
        <v>0</v>
      </c>
    </row>
    <row r="7" spans="1:27" x14ac:dyDescent="0.25">
      <c r="B7" s="18" t="s">
        <v>419</v>
      </c>
      <c r="C7" s="251">
        <f>-'Сводные данные с индексацией'!C25-'Сводные данные с индексацией'!C26</f>
        <v>-649840.66711426142</v>
      </c>
      <c r="D7" s="251">
        <f>-'Сводные данные с индексацией'!D25-'Сводные данные с индексацией'!D26</f>
        <v>-656243.81139939139</v>
      </c>
      <c r="E7" s="251">
        <f>-'Сводные данные с индексацией'!E25-'Сводные данные с индексацией'!E26</f>
        <v>-662710.04846835427</v>
      </c>
      <c r="F7" s="251">
        <f>-'Сводные данные с индексацией'!F25-'Сводные данные с индексацией'!F26</f>
        <v>-669239.99999999977</v>
      </c>
      <c r="G7" s="251">
        <f>-'Сводные данные с индексацией'!G25-'Сводные данные с индексацией'!G26</f>
        <v>0</v>
      </c>
      <c r="H7" s="251">
        <f>-'Сводные данные с индексацией'!H25-'Сводные данные с индексацией'!H26</f>
        <v>0</v>
      </c>
      <c r="I7" s="251">
        <f>-'Сводные данные с индексацией'!I25-'Сводные данные с индексацией'!I26</f>
        <v>0</v>
      </c>
      <c r="J7" s="251">
        <f>-'Сводные данные с индексацией'!J25-'Сводные данные с индексацией'!J26</f>
        <v>0</v>
      </c>
      <c r="K7" s="251">
        <f>-'Сводные данные с индексацией'!K25-'Сводные данные с индексацией'!K26</f>
        <v>0</v>
      </c>
      <c r="L7" s="251">
        <f>-'Сводные данные с индексацией'!L25-'Сводные данные с индексацией'!L26</f>
        <v>0</v>
      </c>
      <c r="M7" s="251">
        <f>-'Сводные данные с индексацией'!M25-'Сводные данные с индексацией'!M26</f>
        <v>0</v>
      </c>
      <c r="N7" s="251">
        <f>-'Сводные данные с индексацией'!N25-'Сводные данные с индексацией'!N26</f>
        <v>0</v>
      </c>
      <c r="O7" s="251">
        <f>-'Сводные данные с индексацией'!O25-'Сводные данные с индексацией'!O26</f>
        <v>0</v>
      </c>
      <c r="P7" s="251">
        <f>-'Сводные данные с индексацией'!P25-'Сводные данные с индексацией'!P26</f>
        <v>0</v>
      </c>
      <c r="Q7" s="251">
        <f>-'Сводные данные с индексацией'!Q25-'Сводные данные с индексацией'!Q26</f>
        <v>0</v>
      </c>
      <c r="R7" s="251">
        <f>-'Сводные данные с индексацией'!R25-'Сводные данные с индексацией'!R26</f>
        <v>0</v>
      </c>
      <c r="S7" s="251">
        <f>-'Сводные данные с индексацией'!S25-'Сводные данные с индексацией'!S26</f>
        <v>0</v>
      </c>
      <c r="T7" s="251">
        <f>-'Сводные данные с индексацией'!T25-'Сводные данные с индексацией'!T26</f>
        <v>0</v>
      </c>
      <c r="U7" s="251">
        <f>-'Сводные данные с индексацией'!U25-'Сводные данные с индексацией'!U26</f>
        <v>0</v>
      </c>
      <c r="V7" s="251">
        <f>-'Сводные данные с индексацией'!V25-'Сводные данные с индексацией'!V26</f>
        <v>0</v>
      </c>
      <c r="W7" s="251">
        <f>-'Сводные данные с индексацией'!W25-'Сводные данные с индексацией'!W26</f>
        <v>0</v>
      </c>
      <c r="X7" s="251">
        <f>-'Сводные данные с индексацией'!X25-'Сводные данные с индексацией'!X26</f>
        <v>0</v>
      </c>
      <c r="Y7" s="251">
        <f>-'Сводные данные с индексацией'!Y25-'Сводные данные с индексацией'!Y26</f>
        <v>0</v>
      </c>
      <c r="Z7" s="251">
        <f>-'Сводные данные с индексацией'!Z25-'Сводные данные с индексацией'!Z26</f>
        <v>0</v>
      </c>
      <c r="AA7" s="251">
        <f>-'Сводные данные с индексацией'!AA25-'Сводные данные с индексацией'!AA26</f>
        <v>0</v>
      </c>
    </row>
    <row r="8" spans="1:27" x14ac:dyDescent="0.25">
      <c r="B8" s="18" t="s">
        <v>420</v>
      </c>
      <c r="C8" s="252">
        <f>C6+C7</f>
        <v>-1960630.3888148228</v>
      </c>
      <c r="D8" s="252">
        <f t="shared" ref="D8:AA8" si="1">D6+D7</f>
        <v>-18431425.835783839</v>
      </c>
      <c r="E8" s="252">
        <f t="shared" si="1"/>
        <v>-16110496.72605237</v>
      </c>
      <c r="F8" s="252">
        <f t="shared" si="1"/>
        <v>-5905253.1199999973</v>
      </c>
      <c r="G8" s="252">
        <f t="shared" si="1"/>
        <v>20010774.795426294</v>
      </c>
      <c r="H8" s="252">
        <f t="shared" si="1"/>
        <v>24512543.813376922</v>
      </c>
      <c r="I8" s="252">
        <f t="shared" si="1"/>
        <v>10988.178426728822</v>
      </c>
      <c r="J8" s="252">
        <f t="shared" si="1"/>
        <v>11096.449415999998</v>
      </c>
      <c r="K8" s="252">
        <f t="shared" si="1"/>
        <v>11205.787243345909</v>
      </c>
      <c r="L8" s="252">
        <f t="shared" si="1"/>
        <v>11316.20242075585</v>
      </c>
      <c r="M8" s="252">
        <f t="shared" si="1"/>
        <v>11427.705563797983</v>
      </c>
      <c r="N8" s="252">
        <f t="shared" si="1"/>
        <v>11540.307392639992</v>
      </c>
      <c r="O8" s="252">
        <f t="shared" si="1"/>
        <v>0</v>
      </c>
      <c r="P8" s="252">
        <f t="shared" si="1"/>
        <v>0</v>
      </c>
      <c r="Q8" s="252">
        <f t="shared" si="1"/>
        <v>0</v>
      </c>
      <c r="R8" s="252">
        <f t="shared" si="1"/>
        <v>0</v>
      </c>
      <c r="S8" s="252">
        <f t="shared" si="1"/>
        <v>0</v>
      </c>
      <c r="T8" s="252">
        <f t="shared" si="1"/>
        <v>0</v>
      </c>
      <c r="U8" s="252">
        <f t="shared" si="1"/>
        <v>0</v>
      </c>
      <c r="V8" s="252">
        <f t="shared" si="1"/>
        <v>0</v>
      </c>
      <c r="W8" s="252">
        <f t="shared" si="1"/>
        <v>0</v>
      </c>
      <c r="X8" s="252">
        <f t="shared" si="1"/>
        <v>0</v>
      </c>
      <c r="Y8" s="252">
        <f t="shared" si="1"/>
        <v>0</v>
      </c>
      <c r="Z8" s="252">
        <f t="shared" si="1"/>
        <v>0</v>
      </c>
      <c r="AA8" s="252">
        <f t="shared" si="1"/>
        <v>0</v>
      </c>
    </row>
    <row r="9" spans="1:27" x14ac:dyDescent="0.25">
      <c r="B9" s="18" t="s">
        <v>421</v>
      </c>
      <c r="C9" s="251">
        <f>-'Сводные данные с индексацией'!C19</f>
        <v>-82500</v>
      </c>
      <c r="D9" s="251">
        <f>-'Сводные данные с индексацией'!D19</f>
        <v>-484687.5</v>
      </c>
      <c r="E9" s="251">
        <f>-'Сводные данные с индексацией'!E19</f>
        <v>-835312.5</v>
      </c>
      <c r="F9" s="251">
        <f>-'Сводные данные с индексацией'!F19</f>
        <v>-977694.89812500007</v>
      </c>
      <c r="G9" s="251">
        <f>-'Сводные данные с индексацией'!G19</f>
        <v>-575507.39812500007</v>
      </c>
      <c r="H9" s="251">
        <f>-'Сводные данные с индексацией'!H19</f>
        <v>-70194.898125000007</v>
      </c>
      <c r="I9" s="251">
        <f>-'Сводные данные с индексацией'!I19</f>
        <v>0</v>
      </c>
      <c r="J9" s="251">
        <f>-'Сводные данные с индексацией'!J19</f>
        <v>0</v>
      </c>
      <c r="K9" s="251">
        <f>-'Сводные данные с индексацией'!K19</f>
        <v>0</v>
      </c>
      <c r="L9" s="251">
        <f>-'Сводные данные с индексацией'!L19</f>
        <v>0</v>
      </c>
      <c r="M9" s="251">
        <f>-'Сводные данные с индексацией'!M19</f>
        <v>0</v>
      </c>
      <c r="N9" s="251">
        <f>-'Сводные данные с индексацией'!N19</f>
        <v>0</v>
      </c>
      <c r="O9" s="251">
        <f>-'Сводные данные с индексацией'!O19</f>
        <v>0</v>
      </c>
      <c r="P9" s="251">
        <f>-'Сводные данные с индексацией'!P19</f>
        <v>0</v>
      </c>
      <c r="Q9" s="251">
        <f>-'Сводные данные с индексацией'!Q19</f>
        <v>0</v>
      </c>
      <c r="R9" s="251">
        <f>-'Сводные данные с индексацией'!R19</f>
        <v>0</v>
      </c>
      <c r="S9" s="251">
        <f>-'Сводные данные с индексацией'!S19</f>
        <v>0</v>
      </c>
      <c r="T9" s="251">
        <f>-'Сводные данные с индексацией'!T19</f>
        <v>0</v>
      </c>
      <c r="U9" s="251">
        <f>-'Сводные данные с индексацией'!U19</f>
        <v>0</v>
      </c>
      <c r="V9" s="251">
        <f>-'Сводные данные с индексацией'!V19</f>
        <v>0</v>
      </c>
      <c r="W9" s="251">
        <f>-'Сводные данные с индексацией'!W19</f>
        <v>0</v>
      </c>
      <c r="X9" s="251">
        <f>-'Сводные данные с индексацией'!X19</f>
        <v>0</v>
      </c>
      <c r="Y9" s="251">
        <f>-'Сводные данные с индексацией'!Y19</f>
        <v>0</v>
      </c>
      <c r="Z9" s="251">
        <f>-'Сводные данные с индексацией'!Z19</f>
        <v>0</v>
      </c>
      <c r="AA9" s="251">
        <f>-'Сводные данные с индексацией'!AA19</f>
        <v>0</v>
      </c>
    </row>
    <row r="10" spans="1:27" x14ac:dyDescent="0.25">
      <c r="B10" s="18" t="s">
        <v>422</v>
      </c>
      <c r="C10" s="251">
        <f>-'Сводные данные с индексацией'!C23-'Сводные данные с индексацией'!C24</f>
        <v>-10360.380217590529</v>
      </c>
      <c r="D10" s="251">
        <f>-'Сводные данные с индексацией'!D23-'Сводные данные с индексацией'!D24</f>
        <v>-1227183.5121696484</v>
      </c>
      <c r="E10" s="251">
        <f>-'Сводные данные с индексацией'!E23-'Сводные данные с индексацией'!E24</f>
        <v>-10565.556179546951</v>
      </c>
      <c r="F10" s="251">
        <f>-'Сводные данные с индексацией'!F23-'Сводные данные с индексацией'!F24</f>
        <v>-10669.662899999996</v>
      </c>
      <c r="G10" s="251">
        <f>-'Сводные данные с индексацией'!G23-'Сводные данные с индексацией'!G24</f>
        <v>-10774.795426294146</v>
      </c>
      <c r="H10" s="251">
        <f>-'Сводные данные с индексацией'!H23-'Сводные данные с индексацией'!H24</f>
        <v>-10880.963866111393</v>
      </c>
      <c r="I10" s="251">
        <f>-'Сводные данные с индексацией'!I23-'Сводные данные с индексацией'!I24</f>
        <v>-10988.178426728828</v>
      </c>
      <c r="J10" s="251">
        <f>-'Сводные данные с индексацией'!J23-'Сводные данные с индексацией'!J24</f>
        <v>-11096.449415999994</v>
      </c>
      <c r="K10" s="251">
        <f>-'Сводные данные с индексацией'!K23-'Сводные данные с индексацией'!K24</f>
        <v>-11205.787243345911</v>
      </c>
      <c r="L10" s="251">
        <f>-'Сводные данные с индексацией'!L23-'Сводные данные с индексацией'!L24</f>
        <v>-11316.202420755848</v>
      </c>
      <c r="M10" s="251">
        <f>-'Сводные данные с индексацией'!M23-'Сводные данные с индексацией'!M24</f>
        <v>-11427.705563797981</v>
      </c>
      <c r="N10" s="251">
        <f>-'Сводные данные с индексацией'!N23-'Сводные данные с индексацией'!N24</f>
        <v>-11540.307392639994</v>
      </c>
      <c r="O10" s="251">
        <f>-'Сводные данные с индексацией'!O23-'Сводные данные с индексацией'!O24</f>
        <v>0</v>
      </c>
      <c r="P10" s="251">
        <f>-'Сводные данные с индексацией'!P23-'Сводные данные с индексацией'!P24</f>
        <v>0</v>
      </c>
      <c r="Q10" s="251">
        <f>-'Сводные данные с индексацией'!Q23-'Сводные данные с индексацией'!Q24</f>
        <v>0</v>
      </c>
      <c r="R10" s="251">
        <f>-'Сводные данные с индексацией'!R23-'Сводные данные с индексацией'!R24</f>
        <v>0</v>
      </c>
      <c r="S10" s="251">
        <f>-'Сводные данные с индексацией'!S23-'Сводные данные с индексацией'!S24</f>
        <v>0</v>
      </c>
      <c r="T10" s="251">
        <f>-'Сводные данные с индексацией'!T23-'Сводные данные с индексацией'!T24</f>
        <v>0</v>
      </c>
      <c r="U10" s="251">
        <f>-'Сводные данные с индексацией'!U23-'Сводные данные с индексацией'!U24</f>
        <v>0</v>
      </c>
      <c r="V10" s="251">
        <f>-'Сводные данные с индексацией'!V23-'Сводные данные с индексацией'!V24</f>
        <v>0</v>
      </c>
      <c r="W10" s="251">
        <f>-'Сводные данные с индексацией'!W23-'Сводные данные с индексацией'!W24</f>
        <v>0</v>
      </c>
      <c r="X10" s="251">
        <f>-'Сводные данные с индексацией'!X23-'Сводные данные с индексацией'!X24</f>
        <v>0</v>
      </c>
      <c r="Y10" s="251">
        <f>-'Сводные данные с индексацией'!Y23-'Сводные данные с индексацией'!Y24</f>
        <v>0</v>
      </c>
      <c r="Z10" s="251">
        <f>-'Сводные данные с индексацией'!Z23-'Сводные данные с индексацией'!Z24</f>
        <v>0</v>
      </c>
      <c r="AA10" s="251">
        <f>-'Сводные данные с индексацией'!AA23-'Сводные данные с индексацией'!AA24</f>
        <v>0</v>
      </c>
    </row>
    <row r="11" spans="1:27" x14ac:dyDescent="0.25">
      <c r="B11" s="18" t="s">
        <v>423</v>
      </c>
      <c r="C11" s="252">
        <f>C8+C9+C10</f>
        <v>-2053490.7690324134</v>
      </c>
      <c r="D11" s="252">
        <f t="shared" ref="D11:AA11" si="2">D8+D9+D10</f>
        <v>-20143296.847953487</v>
      </c>
      <c r="E11" s="252">
        <f t="shared" si="2"/>
        <v>-16956374.782231916</v>
      </c>
      <c r="F11" s="252">
        <f t="shared" si="2"/>
        <v>-6893617.6810249975</v>
      </c>
      <c r="G11" s="252">
        <f t="shared" si="2"/>
        <v>19424492.601875</v>
      </c>
      <c r="H11" s="252">
        <f t="shared" si="2"/>
        <v>24431467.951385811</v>
      </c>
      <c r="I11" s="252">
        <f t="shared" si="2"/>
        <v>0</v>
      </c>
      <c r="J11" s="252">
        <f t="shared" si="2"/>
        <v>0</v>
      </c>
      <c r="K11" s="252">
        <f t="shared" si="2"/>
        <v>0</v>
      </c>
      <c r="L11" s="252">
        <f t="shared" si="2"/>
        <v>0</v>
      </c>
      <c r="M11" s="252">
        <f t="shared" si="2"/>
        <v>0</v>
      </c>
      <c r="N11" s="252">
        <f t="shared" si="2"/>
        <v>0</v>
      </c>
      <c r="O11" s="252">
        <f t="shared" si="2"/>
        <v>0</v>
      </c>
      <c r="P11" s="252">
        <f t="shared" si="2"/>
        <v>0</v>
      </c>
      <c r="Q11" s="252">
        <f t="shared" si="2"/>
        <v>0</v>
      </c>
      <c r="R11" s="252">
        <f t="shared" si="2"/>
        <v>0</v>
      </c>
      <c r="S11" s="252">
        <f t="shared" si="2"/>
        <v>0</v>
      </c>
      <c r="T11" s="252">
        <f t="shared" si="2"/>
        <v>0</v>
      </c>
      <c r="U11" s="252">
        <f t="shared" si="2"/>
        <v>0</v>
      </c>
      <c r="V11" s="252">
        <f t="shared" si="2"/>
        <v>0</v>
      </c>
      <c r="W11" s="252">
        <f t="shared" si="2"/>
        <v>0</v>
      </c>
      <c r="X11" s="252">
        <f t="shared" si="2"/>
        <v>0</v>
      </c>
      <c r="Y11" s="252">
        <f t="shared" si="2"/>
        <v>0</v>
      </c>
      <c r="Z11" s="252">
        <f t="shared" si="2"/>
        <v>0</v>
      </c>
      <c r="AA11" s="252">
        <f t="shared" si="2"/>
        <v>0</v>
      </c>
    </row>
    <row r="12" spans="1:27" x14ac:dyDescent="0.25">
      <c r="B12" s="18" t="s">
        <v>443</v>
      </c>
      <c r="C12" s="252">
        <f>-C4*0.01</f>
        <v>0</v>
      </c>
      <c r="D12" s="252">
        <f t="shared" ref="D12:AA12" si="3">-D4*0.01</f>
        <v>0</v>
      </c>
      <c r="E12" s="252">
        <f t="shared" si="3"/>
        <v>0</v>
      </c>
      <c r="F12" s="252">
        <f t="shared" si="3"/>
        <v>0</v>
      </c>
      <c r="G12" s="252">
        <f t="shared" si="3"/>
        <v>-200265.28508568459</v>
      </c>
      <c r="H12" s="252">
        <f t="shared" si="3"/>
        <v>-245284.52754259334</v>
      </c>
      <c r="I12" s="252">
        <f t="shared" si="3"/>
        <v>-270.53876571416197</v>
      </c>
      <c r="J12" s="252">
        <f t="shared" si="3"/>
        <v>-273.20449415999991</v>
      </c>
      <c r="K12" s="252">
        <f t="shared" si="3"/>
        <v>-275.89648911196372</v>
      </c>
      <c r="L12" s="252">
        <f t="shared" si="3"/>
        <v>-278.61500938461711</v>
      </c>
      <c r="M12" s="252">
        <f t="shared" si="3"/>
        <v>-281.36031634272854</v>
      </c>
      <c r="N12" s="252">
        <f t="shared" si="3"/>
        <v>-284.13267392639983</v>
      </c>
      <c r="O12" s="252">
        <f t="shared" si="3"/>
        <v>0</v>
      </c>
      <c r="P12" s="252">
        <f t="shared" si="3"/>
        <v>0</v>
      </c>
      <c r="Q12" s="252">
        <f t="shared" si="3"/>
        <v>0</v>
      </c>
      <c r="R12" s="252">
        <f t="shared" si="3"/>
        <v>0</v>
      </c>
      <c r="S12" s="252">
        <f t="shared" si="3"/>
        <v>0</v>
      </c>
      <c r="T12" s="252">
        <f t="shared" si="3"/>
        <v>0</v>
      </c>
      <c r="U12" s="252">
        <f t="shared" si="3"/>
        <v>0</v>
      </c>
      <c r="V12" s="252">
        <f t="shared" si="3"/>
        <v>0</v>
      </c>
      <c r="W12" s="252">
        <f t="shared" si="3"/>
        <v>0</v>
      </c>
      <c r="X12" s="252">
        <f t="shared" si="3"/>
        <v>0</v>
      </c>
      <c r="Y12" s="252">
        <f t="shared" si="3"/>
        <v>0</v>
      </c>
      <c r="Z12" s="252">
        <f t="shared" si="3"/>
        <v>0</v>
      </c>
      <c r="AA12" s="252">
        <f t="shared" si="3"/>
        <v>0</v>
      </c>
    </row>
    <row r="13" spans="1:27" x14ac:dyDescent="0.25">
      <c r="B13" s="18" t="s">
        <v>424</v>
      </c>
      <c r="C13" s="253">
        <f t="shared" ref="C13:D13" si="4">C11+C12</f>
        <v>-2053490.7690324134</v>
      </c>
      <c r="D13" s="253">
        <f t="shared" si="4"/>
        <v>-20143296.847953487</v>
      </c>
      <c r="E13" s="253">
        <f>E11+E12</f>
        <v>-16956374.782231916</v>
      </c>
      <c r="F13" s="253">
        <f t="shared" ref="F13:AA13" si="5">F11+F12</f>
        <v>-6893617.6810249975</v>
      </c>
      <c r="G13" s="253">
        <f t="shared" si="5"/>
        <v>19224227.316789314</v>
      </c>
      <c r="H13" s="253">
        <f t="shared" si="5"/>
        <v>24186183.423843216</v>
      </c>
      <c r="I13" s="253">
        <f t="shared" si="5"/>
        <v>-270.53876571416197</v>
      </c>
      <c r="J13" s="253">
        <f t="shared" si="5"/>
        <v>-273.20449415999991</v>
      </c>
      <c r="K13" s="253">
        <f t="shared" si="5"/>
        <v>-275.89648911196372</v>
      </c>
      <c r="L13" s="253">
        <f t="shared" si="5"/>
        <v>-278.61500938461711</v>
      </c>
      <c r="M13" s="253">
        <f t="shared" si="5"/>
        <v>-281.36031634272854</v>
      </c>
      <c r="N13" s="253">
        <f t="shared" si="5"/>
        <v>-284.13267392639983</v>
      </c>
      <c r="O13" s="253">
        <f t="shared" si="5"/>
        <v>0</v>
      </c>
      <c r="P13" s="253">
        <f t="shared" si="5"/>
        <v>0</v>
      </c>
      <c r="Q13" s="253">
        <f t="shared" si="5"/>
        <v>0</v>
      </c>
      <c r="R13" s="253">
        <f t="shared" si="5"/>
        <v>0</v>
      </c>
      <c r="S13" s="253">
        <f t="shared" si="5"/>
        <v>0</v>
      </c>
      <c r="T13" s="253">
        <f t="shared" si="5"/>
        <v>0</v>
      </c>
      <c r="U13" s="253">
        <f t="shared" si="5"/>
        <v>0</v>
      </c>
      <c r="V13" s="253">
        <f t="shared" si="5"/>
        <v>0</v>
      </c>
      <c r="W13" s="253">
        <f t="shared" si="5"/>
        <v>0</v>
      </c>
      <c r="X13" s="253">
        <f t="shared" si="5"/>
        <v>0</v>
      </c>
      <c r="Y13" s="253">
        <f t="shared" si="5"/>
        <v>0</v>
      </c>
      <c r="Z13" s="253">
        <f t="shared" si="5"/>
        <v>0</v>
      </c>
      <c r="AA13" s="253">
        <f t="shared" si="5"/>
        <v>0</v>
      </c>
    </row>
  </sheetData>
  <hyperlinks>
    <hyperlink ref="A1" location="Структура!A1" display="к содержанию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23"/>
  <sheetViews>
    <sheetView zoomScale="80" zoomScaleNormal="80" workbookViewId="0">
      <pane xSplit="3" ySplit="3" topLeftCell="D4" activePane="bottomRight" state="frozen"/>
      <selection activeCell="G39" sqref="G39"/>
      <selection pane="topRight" activeCell="G39" sqref="G39"/>
      <selection pane="bottomLeft" activeCell="G39" sqref="G39"/>
      <selection pane="bottomRight" activeCell="C12" sqref="C12"/>
    </sheetView>
  </sheetViews>
  <sheetFormatPr defaultRowHeight="15" x14ac:dyDescent="0.25"/>
  <cols>
    <col min="1" max="1" width="6.28515625" customWidth="1"/>
    <col min="2" max="2" width="2.7109375" customWidth="1"/>
    <col min="3" max="3" width="36" bestFit="1" customWidth="1"/>
    <col min="4" max="4" width="10.42578125" style="2" bestFit="1" customWidth="1"/>
    <col min="5" max="10" width="10.5703125" style="2" bestFit="1" customWidth="1"/>
    <col min="11" max="13" width="10.85546875" style="2" bestFit="1" customWidth="1"/>
    <col min="14" max="27" width="9.85546875" style="2" bestFit="1" customWidth="1"/>
    <col min="28" max="28" width="10.85546875" style="2" bestFit="1" customWidth="1"/>
  </cols>
  <sheetData>
    <row r="1" spans="1:28" x14ac:dyDescent="0.25">
      <c r="A1" s="1" t="s">
        <v>1</v>
      </c>
    </row>
    <row r="3" spans="1:28" ht="19.5" thickBot="1" x14ac:dyDescent="0.35">
      <c r="B3" s="16" t="s">
        <v>425</v>
      </c>
      <c r="D3" s="2" t="s">
        <v>25</v>
      </c>
      <c r="E3" s="2" t="s">
        <v>26</v>
      </c>
      <c r="F3" s="2" t="s">
        <v>27</v>
      </c>
      <c r="G3" s="2" t="s">
        <v>28</v>
      </c>
      <c r="H3" s="2" t="s">
        <v>29</v>
      </c>
      <c r="I3" s="2" t="s">
        <v>30</v>
      </c>
      <c r="J3" s="2" t="s">
        <v>31</v>
      </c>
      <c r="K3" s="2" t="s">
        <v>32</v>
      </c>
      <c r="L3" s="2" t="s">
        <v>33</v>
      </c>
      <c r="M3" s="2" t="s">
        <v>34</v>
      </c>
      <c r="N3" s="2" t="s">
        <v>35</v>
      </c>
      <c r="O3" s="2" t="s">
        <v>36</v>
      </c>
      <c r="P3" s="2" t="s">
        <v>37</v>
      </c>
      <c r="Q3" s="2" t="s">
        <v>38</v>
      </c>
      <c r="R3" s="2" t="s">
        <v>39</v>
      </c>
      <c r="S3" s="2" t="s">
        <v>40</v>
      </c>
      <c r="T3" s="2" t="s">
        <v>41</v>
      </c>
      <c r="U3" s="2" t="s">
        <v>42</v>
      </c>
      <c r="V3" s="2" t="s">
        <v>43</v>
      </c>
      <c r="W3" s="2" t="s">
        <v>44</v>
      </c>
      <c r="X3" s="2" t="s">
        <v>45</v>
      </c>
      <c r="Y3" s="2" t="s">
        <v>46</v>
      </c>
      <c r="Z3" s="2" t="s">
        <v>47</v>
      </c>
      <c r="AA3" s="2" t="s">
        <v>48</v>
      </c>
      <c r="AB3" s="2" t="s">
        <v>255</v>
      </c>
    </row>
    <row r="4" spans="1:28" ht="18.75" x14ac:dyDescent="0.3">
      <c r="B4" s="254" t="s">
        <v>426</v>
      </c>
      <c r="C4" s="255"/>
      <c r="D4" s="256">
        <f>D8+D13</f>
        <v>3257298.9526681481</v>
      </c>
      <c r="E4" s="256">
        <f>E8+E13</f>
        <v>20389184.129099108</v>
      </c>
      <c r="F4" s="256">
        <f t="shared" ref="F4:AA4" si="0">F8+F13</f>
        <v>35880596.024451211</v>
      </c>
      <c r="G4" s="256">
        <f>G8+G13</f>
        <v>41126380.46342621</v>
      </c>
      <c r="H4" s="256">
        <f t="shared" si="0"/>
        <v>41050873.06530121</v>
      </c>
      <c r="I4" s="256">
        <f t="shared" si="0"/>
        <v>40982341.016687021</v>
      </c>
      <c r="J4" s="256">
        <f t="shared" si="0"/>
        <v>37578952.016687021</v>
      </c>
      <c r="K4" s="256">
        <f t="shared" si="0"/>
        <v>37132858.460798867</v>
      </c>
      <c r="L4" s="256">
        <f t="shared" si="0"/>
        <v>37132858.460798867</v>
      </c>
      <c r="M4" s="256">
        <f t="shared" si="0"/>
        <v>37132858.460798867</v>
      </c>
      <c r="N4" s="256">
        <f t="shared" si="0"/>
        <v>37132858.460798867</v>
      </c>
      <c r="O4" s="256">
        <f t="shared" si="0"/>
        <v>37131738.456310101</v>
      </c>
      <c r="P4" s="256">
        <f t="shared" si="0"/>
        <v>37131738.456310101</v>
      </c>
      <c r="Q4" s="256">
        <f t="shared" si="0"/>
        <v>37131738.456310101</v>
      </c>
      <c r="R4" s="256">
        <f t="shared" si="0"/>
        <v>37131738.456310101</v>
      </c>
      <c r="S4" s="256">
        <f t="shared" si="0"/>
        <v>37131738.456310101</v>
      </c>
      <c r="T4" s="256">
        <f t="shared" si="0"/>
        <v>37131738.456310101</v>
      </c>
      <c r="U4" s="256">
        <f t="shared" si="0"/>
        <v>37131738.456310101</v>
      </c>
      <c r="V4" s="256">
        <f t="shared" si="0"/>
        <v>37131738.456310101</v>
      </c>
      <c r="W4" s="256">
        <f t="shared" si="0"/>
        <v>37131738.456310101</v>
      </c>
      <c r="X4" s="256">
        <f t="shared" si="0"/>
        <v>37131738.456310101</v>
      </c>
      <c r="Y4" s="256">
        <f t="shared" si="0"/>
        <v>37131738.456310101</v>
      </c>
      <c r="Z4" s="256">
        <f t="shared" si="0"/>
        <v>37131738.456310101</v>
      </c>
      <c r="AA4" s="256">
        <f t="shared" si="0"/>
        <v>37131738.456310101</v>
      </c>
      <c r="AB4" s="256">
        <f>AB8+AB13</f>
        <v>37131738.456310101</v>
      </c>
    </row>
    <row r="5" spans="1:28" x14ac:dyDescent="0.25">
      <c r="B5" s="257" t="s">
        <v>427</v>
      </c>
      <c r="C5" s="5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</row>
    <row r="6" spans="1:28" x14ac:dyDescent="0.25">
      <c r="B6" s="257"/>
      <c r="C6" s="18" t="s">
        <v>428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</row>
    <row r="7" spans="1:28" x14ac:dyDescent="0.25">
      <c r="B7" s="257"/>
      <c r="C7" s="18" t="s">
        <v>429</v>
      </c>
      <c r="D7" s="108">
        <f>'Сводные данные с индексацией'!C12</f>
        <v>1310789.7217005615</v>
      </c>
      <c r="E7" s="108">
        <f>D7+'Сводные данные с индексацией'!D12</f>
        <v>19085971.746085007</v>
      </c>
      <c r="F7" s="108">
        <f>E7+'Сводные данные с индексацией'!E12</f>
        <v>34533758.423669025</v>
      </c>
      <c r="G7" s="108">
        <f>F7+'Сводные данные с индексацией'!F12</f>
        <v>39769771.543669023</v>
      </c>
      <c r="H7" s="108">
        <f>G7+'Сводные данные с индексацией'!G12</f>
        <v>39769771.543669023</v>
      </c>
      <c r="I7" s="108">
        <f>H7+'Сводные данные с индексацией'!H12</f>
        <v>39769771.543669023</v>
      </c>
      <c r="J7" s="108">
        <f>I7+'Сводные данные с индексацией'!I12</f>
        <v>39769771.543669023</v>
      </c>
      <c r="K7" s="108">
        <f>J7+'Сводные данные с индексацией'!J12</f>
        <v>39769771.543669023</v>
      </c>
      <c r="L7" s="108">
        <f>K7+'Сводные данные с индексацией'!K12</f>
        <v>39769771.543669023</v>
      </c>
      <c r="M7" s="108">
        <f>L7+'Сводные данные с индексацией'!L12</f>
        <v>39769771.543669023</v>
      </c>
      <c r="N7" s="108">
        <f>M7+'Сводные данные с индексацией'!M12</f>
        <v>39769771.543669023</v>
      </c>
      <c r="O7" s="108">
        <f>N7+'Сводные данные с индексацией'!N12</f>
        <v>39769771.543669023</v>
      </c>
      <c r="P7" s="108">
        <f>O7+'Сводные данные с индексацией'!O12</f>
        <v>39769771.543669023</v>
      </c>
      <c r="Q7" s="108">
        <f>P7+'Сводные данные с индексацией'!P12</f>
        <v>39769771.543669023</v>
      </c>
      <c r="R7" s="108">
        <f>Q7+'Сводные данные с индексацией'!Q12</f>
        <v>39769771.543669023</v>
      </c>
      <c r="S7" s="108">
        <f>R7+'Сводные данные с индексацией'!R12</f>
        <v>39769771.543669023</v>
      </c>
      <c r="T7" s="108">
        <f>S7+'Сводные данные с индексацией'!S12</f>
        <v>39769771.543669023</v>
      </c>
      <c r="U7" s="108">
        <f>T7+'Сводные данные с индексацией'!T12</f>
        <v>39769771.543669023</v>
      </c>
      <c r="V7" s="108">
        <f>U7+'Сводные данные с индексацией'!U12</f>
        <v>39769771.543669023</v>
      </c>
      <c r="W7" s="108">
        <f>V7+'Сводные данные с индексацией'!V12</f>
        <v>39769771.543669023</v>
      </c>
      <c r="X7" s="108">
        <f>W7+'Сводные данные с индексацией'!W12</f>
        <v>39769771.543669023</v>
      </c>
      <c r="Y7" s="108">
        <f>X7+'Сводные данные с индексацией'!X12</f>
        <v>39769771.543669023</v>
      </c>
      <c r="Z7" s="108">
        <f>Y7+'Сводные данные с индексацией'!Y12</f>
        <v>39769771.543669023</v>
      </c>
      <c r="AA7" s="108">
        <f>Z7+'Сводные данные с индексацией'!Z12</f>
        <v>39769771.543669023</v>
      </c>
      <c r="AB7" s="108">
        <f>AA7+'Сводные данные с индексацией'!AA12</f>
        <v>39769771.543669023</v>
      </c>
    </row>
    <row r="8" spans="1:28" x14ac:dyDescent="0.25">
      <c r="B8" s="259" t="s">
        <v>430</v>
      </c>
      <c r="C8" s="33"/>
      <c r="D8" s="260">
        <f t="shared" ref="D8:AB8" si="1">SUM(D6:D7)</f>
        <v>1310789.7217005615</v>
      </c>
      <c r="E8" s="260">
        <f t="shared" si="1"/>
        <v>19085971.746085007</v>
      </c>
      <c r="F8" s="260">
        <f t="shared" si="1"/>
        <v>34533758.423669025</v>
      </c>
      <c r="G8" s="260">
        <f t="shared" si="1"/>
        <v>39769771.543669023</v>
      </c>
      <c r="H8" s="260">
        <f t="shared" si="1"/>
        <v>39769771.543669023</v>
      </c>
      <c r="I8" s="260">
        <f t="shared" si="1"/>
        <v>39769771.543669023</v>
      </c>
      <c r="J8" s="260">
        <f t="shared" si="1"/>
        <v>39769771.543669023</v>
      </c>
      <c r="K8" s="260">
        <f t="shared" si="1"/>
        <v>39769771.543669023</v>
      </c>
      <c r="L8" s="260">
        <f t="shared" si="1"/>
        <v>39769771.543669023</v>
      </c>
      <c r="M8" s="260">
        <f t="shared" si="1"/>
        <v>39769771.543669023</v>
      </c>
      <c r="N8" s="260">
        <f t="shared" si="1"/>
        <v>39769771.543669023</v>
      </c>
      <c r="O8" s="260">
        <f t="shared" si="1"/>
        <v>39769771.543669023</v>
      </c>
      <c r="P8" s="260">
        <f t="shared" si="1"/>
        <v>39769771.543669023</v>
      </c>
      <c r="Q8" s="260">
        <f t="shared" si="1"/>
        <v>39769771.543669023</v>
      </c>
      <c r="R8" s="260">
        <f t="shared" si="1"/>
        <v>39769771.543669023</v>
      </c>
      <c r="S8" s="260">
        <f t="shared" si="1"/>
        <v>39769771.543669023</v>
      </c>
      <c r="T8" s="260">
        <f t="shared" si="1"/>
        <v>39769771.543669023</v>
      </c>
      <c r="U8" s="260">
        <f t="shared" si="1"/>
        <v>39769771.543669023</v>
      </c>
      <c r="V8" s="260">
        <f t="shared" si="1"/>
        <v>39769771.543669023</v>
      </c>
      <c r="W8" s="260">
        <f t="shared" si="1"/>
        <v>39769771.543669023</v>
      </c>
      <c r="X8" s="260">
        <f t="shared" si="1"/>
        <v>39769771.543669023</v>
      </c>
      <c r="Y8" s="260">
        <f t="shared" si="1"/>
        <v>39769771.543669023</v>
      </c>
      <c r="Z8" s="260">
        <f t="shared" si="1"/>
        <v>39769771.543669023</v>
      </c>
      <c r="AA8" s="260">
        <f t="shared" si="1"/>
        <v>39769771.543669023</v>
      </c>
      <c r="AB8" s="260">
        <f t="shared" si="1"/>
        <v>39769771.543669023</v>
      </c>
    </row>
    <row r="9" spans="1:28" x14ac:dyDescent="0.25">
      <c r="B9" s="257" t="s">
        <v>431</v>
      </c>
      <c r="C9" s="5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8"/>
      <c r="Y9" s="258"/>
      <c r="Z9" s="258"/>
      <c r="AA9" s="258"/>
      <c r="AB9" s="258"/>
    </row>
    <row r="10" spans="1:28" x14ac:dyDescent="0.25">
      <c r="B10" s="257"/>
      <c r="C10" s="18" t="s">
        <v>432</v>
      </c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</row>
    <row r="11" spans="1:28" x14ac:dyDescent="0.25">
      <c r="B11" s="257"/>
      <c r="C11" s="18" t="s">
        <v>433</v>
      </c>
      <c r="D11" s="108">
        <f>'Сводные данные с индексацией'!C44</f>
        <v>1946509.2309675866</v>
      </c>
      <c r="E11" s="108">
        <f>'Сводные данные с индексацией'!D44</f>
        <v>1303212.3830141015</v>
      </c>
      <c r="F11" s="108">
        <f>'Сводные данные с индексацией'!E44</f>
        <v>1346837.6007821858</v>
      </c>
      <c r="G11" s="108">
        <f>'Сводные данные с индексацией'!F44</f>
        <v>1356608.9197571883</v>
      </c>
      <c r="H11" s="108">
        <f>'Сводные данные с индексацией'!G44</f>
        <v>1281101.5216321878</v>
      </c>
      <c r="I11" s="108">
        <f>'Сводные данные с индексацией'!H44</f>
        <v>1212569.4730179987</v>
      </c>
      <c r="J11" s="108">
        <f>'Сводные данные с индексацией'!I44</f>
        <v>-2190819.526982001</v>
      </c>
      <c r="K11" s="108">
        <f>'Сводные данные с индексацией'!J44</f>
        <v>-2636913.0828701532</v>
      </c>
      <c r="L11" s="108">
        <f>'Сводные данные с индексацией'!K44</f>
        <v>-2636913.0828701528</v>
      </c>
      <c r="M11" s="108">
        <f>'Сводные данные с индексацией'!L44</f>
        <v>-2636913.0828701523</v>
      </c>
      <c r="N11" s="108">
        <f>'Сводные данные с индексацией'!M44</f>
        <v>-2636913.0828701523</v>
      </c>
      <c r="O11" s="108">
        <f>'Сводные данные с индексацией'!N44</f>
        <v>-2638033.0873589185</v>
      </c>
      <c r="P11" s="108">
        <f>'Сводные данные с индексацией'!O44</f>
        <v>-2638033.0873589185</v>
      </c>
      <c r="Q11" s="108">
        <f>'Сводные данные с индексацией'!P44</f>
        <v>-2638033.0873589185</v>
      </c>
      <c r="R11" s="108">
        <f>'Сводные данные с индексацией'!Q44</f>
        <v>-2638033.0873589185</v>
      </c>
      <c r="S11" s="108">
        <f>'Сводные данные с индексацией'!R44</f>
        <v>-2638033.0873589185</v>
      </c>
      <c r="T11" s="108">
        <f>'Сводные данные с индексацией'!S44</f>
        <v>-2638033.0873589185</v>
      </c>
      <c r="U11" s="108">
        <f>'Сводные данные с индексацией'!T44</f>
        <v>-2638033.0873589185</v>
      </c>
      <c r="V11" s="108">
        <f>'Сводные данные с индексацией'!U44</f>
        <v>-2638033.0873589185</v>
      </c>
      <c r="W11" s="108">
        <f>'Сводные данные с индексацией'!V44</f>
        <v>-2638033.0873589185</v>
      </c>
      <c r="X11" s="108">
        <f>'Сводные данные с индексацией'!W44</f>
        <v>-2638033.0873589185</v>
      </c>
      <c r="Y11" s="108">
        <f>'Сводные данные с индексацией'!X44</f>
        <v>-2638033.0873589185</v>
      </c>
      <c r="Z11" s="108">
        <f>'Сводные данные с индексацией'!Y44</f>
        <v>-2638033.0873589185</v>
      </c>
      <c r="AA11" s="108">
        <f>'Сводные данные с индексацией'!Z44</f>
        <v>-2638033.0873589185</v>
      </c>
      <c r="AB11" s="108">
        <f>'Сводные данные с индексацией'!AA44</f>
        <v>-2638033.0873589185</v>
      </c>
    </row>
    <row r="12" spans="1:28" x14ac:dyDescent="0.25">
      <c r="B12" s="257"/>
      <c r="C12" s="18" t="s">
        <v>434</v>
      </c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</row>
    <row r="13" spans="1:28" ht="15.75" thickBot="1" x14ac:dyDescent="0.3">
      <c r="B13" s="261" t="s">
        <v>435</v>
      </c>
      <c r="C13" s="262"/>
      <c r="D13" s="263">
        <f t="shared" ref="D13:F13" si="2">SUM(D10:D12)</f>
        <v>1946509.2309675866</v>
      </c>
      <c r="E13" s="263">
        <f t="shared" si="2"/>
        <v>1303212.3830141015</v>
      </c>
      <c r="F13" s="263">
        <f t="shared" si="2"/>
        <v>1346837.6007821858</v>
      </c>
      <c r="G13" s="263">
        <f>SUM(G10:G12)</f>
        <v>1356608.9197571883</v>
      </c>
      <c r="H13" s="263">
        <f t="shared" ref="H13:AB13" si="3">SUM(H10:H12)</f>
        <v>1281101.5216321878</v>
      </c>
      <c r="I13" s="263">
        <f t="shared" si="3"/>
        <v>1212569.4730179987</v>
      </c>
      <c r="J13" s="263">
        <f t="shared" si="3"/>
        <v>-2190819.526982001</v>
      </c>
      <c r="K13" s="263">
        <f t="shared" si="3"/>
        <v>-2636913.0828701532</v>
      </c>
      <c r="L13" s="263">
        <f t="shared" si="3"/>
        <v>-2636913.0828701528</v>
      </c>
      <c r="M13" s="263">
        <f t="shared" si="3"/>
        <v>-2636913.0828701523</v>
      </c>
      <c r="N13" s="263">
        <f t="shared" si="3"/>
        <v>-2636913.0828701523</v>
      </c>
      <c r="O13" s="263">
        <f t="shared" si="3"/>
        <v>-2638033.0873589185</v>
      </c>
      <c r="P13" s="263">
        <f t="shared" si="3"/>
        <v>-2638033.0873589185</v>
      </c>
      <c r="Q13" s="263">
        <f t="shared" si="3"/>
        <v>-2638033.0873589185</v>
      </c>
      <c r="R13" s="263">
        <f t="shared" si="3"/>
        <v>-2638033.0873589185</v>
      </c>
      <c r="S13" s="263">
        <f t="shared" si="3"/>
        <v>-2638033.0873589185</v>
      </c>
      <c r="T13" s="263">
        <f t="shared" si="3"/>
        <v>-2638033.0873589185</v>
      </c>
      <c r="U13" s="263">
        <f t="shared" si="3"/>
        <v>-2638033.0873589185</v>
      </c>
      <c r="V13" s="263">
        <f t="shared" si="3"/>
        <v>-2638033.0873589185</v>
      </c>
      <c r="W13" s="263">
        <f t="shared" si="3"/>
        <v>-2638033.0873589185</v>
      </c>
      <c r="X13" s="263">
        <f t="shared" si="3"/>
        <v>-2638033.0873589185</v>
      </c>
      <c r="Y13" s="263">
        <f t="shared" si="3"/>
        <v>-2638033.0873589185</v>
      </c>
      <c r="Z13" s="263">
        <f t="shared" si="3"/>
        <v>-2638033.0873589185</v>
      </c>
      <c r="AA13" s="263">
        <f t="shared" si="3"/>
        <v>-2638033.0873589185</v>
      </c>
      <c r="AB13" s="263">
        <f t="shared" si="3"/>
        <v>-2638033.0873589185</v>
      </c>
    </row>
    <row r="14" spans="1:28" ht="18.75" x14ac:dyDescent="0.3">
      <c r="B14" s="254" t="s">
        <v>436</v>
      </c>
      <c r="C14" s="255"/>
      <c r="D14" s="256">
        <f>D17+D20</f>
        <v>3257298.9526681481</v>
      </c>
      <c r="E14" s="256">
        <f t="shared" ref="E14:AB14" si="4">E17+E20</f>
        <v>20389184.129099108</v>
      </c>
      <c r="F14" s="256">
        <f t="shared" si="4"/>
        <v>35880596.024451211</v>
      </c>
      <c r="G14" s="256">
        <f t="shared" si="4"/>
        <v>41126380.46342621</v>
      </c>
      <c r="H14" s="256">
        <f t="shared" si="4"/>
        <v>41050873.06530121</v>
      </c>
      <c r="I14" s="256">
        <f t="shared" si="4"/>
        <v>40982341.016687021</v>
      </c>
      <c r="J14" s="256">
        <f t="shared" si="4"/>
        <v>37578952.016687013</v>
      </c>
      <c r="K14" s="256">
        <f t="shared" si="4"/>
        <v>37132858.460798867</v>
      </c>
      <c r="L14" s="256">
        <f t="shared" si="4"/>
        <v>37132858.460798867</v>
      </c>
      <c r="M14" s="256">
        <f t="shared" si="4"/>
        <v>37132858.460798867</v>
      </c>
      <c r="N14" s="256">
        <f t="shared" si="4"/>
        <v>37132858.460798867</v>
      </c>
      <c r="O14" s="256">
        <f t="shared" si="4"/>
        <v>37131738.456310101</v>
      </c>
      <c r="P14" s="256">
        <f t="shared" si="4"/>
        <v>37131738.456310101</v>
      </c>
      <c r="Q14" s="256">
        <f t="shared" si="4"/>
        <v>37131738.456310101</v>
      </c>
      <c r="R14" s="256">
        <f t="shared" si="4"/>
        <v>37131738.456310101</v>
      </c>
      <c r="S14" s="256">
        <f t="shared" si="4"/>
        <v>37131738.456310101</v>
      </c>
      <c r="T14" s="256">
        <f t="shared" si="4"/>
        <v>37131738.456310101</v>
      </c>
      <c r="U14" s="256">
        <f t="shared" si="4"/>
        <v>37131738.456310101</v>
      </c>
      <c r="V14" s="256">
        <f t="shared" si="4"/>
        <v>37131738.456310101</v>
      </c>
      <c r="W14" s="256">
        <f t="shared" si="4"/>
        <v>37131738.456310101</v>
      </c>
      <c r="X14" s="256">
        <f t="shared" si="4"/>
        <v>37131738.456310101</v>
      </c>
      <c r="Y14" s="256">
        <f t="shared" si="4"/>
        <v>37131738.456310101</v>
      </c>
      <c r="Z14" s="256">
        <f t="shared" si="4"/>
        <v>37131738.456310101</v>
      </c>
      <c r="AA14" s="256">
        <f t="shared" si="4"/>
        <v>37131738.456310101</v>
      </c>
      <c r="AB14" s="256">
        <f t="shared" si="4"/>
        <v>37131738.456310101</v>
      </c>
    </row>
    <row r="15" spans="1:28" x14ac:dyDescent="0.25">
      <c r="B15" s="257" t="s">
        <v>437</v>
      </c>
      <c r="C15" s="5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  <c r="W15" s="258"/>
      <c r="X15" s="258"/>
      <c r="Y15" s="258"/>
      <c r="Z15" s="258"/>
      <c r="AA15" s="258"/>
      <c r="AB15" s="258"/>
    </row>
    <row r="16" spans="1:28" x14ac:dyDescent="0.25">
      <c r="B16" s="257"/>
      <c r="C16" s="18" t="s">
        <v>438</v>
      </c>
      <c r="D16" s="108">
        <f>-'Сводные данные с индексацией'!C19-'Сводные данные с индексацией'!C15-'Сводные данные с индексацией'!C27+'Сводные данные с индексацией'!C32-'Сводные данные с индексацией'!C38-'Сводные данные с индексацией'!C40</f>
        <v>-742701.04733185191</v>
      </c>
      <c r="E16" s="108">
        <f>D16-'Сводные данные с индексацией'!D19-'Сводные данные с индексацией'!D15-'Сводные данные с индексацией'!D27+'Сводные данные с индексацией'!D32-'Сводные данные с индексацией'!D38-'Сводные данные с индексацией'!D40</f>
        <v>-3110815.8709008917</v>
      </c>
      <c r="F16" s="108">
        <f>E16-'Сводные данные с индексацией'!E19-'Сводные данные с индексацией'!E15-'Сводные данные с индексацией'!E27+'Сводные данные с индексацией'!E32-'Сводные данные с индексацией'!E38-'Сводные данные с индексацией'!E40</f>
        <v>-4619403.9755487926</v>
      </c>
      <c r="G16" s="108">
        <f>F16-'Сводные данные с индексацией'!F19-'Сводные данные с индексацией'!F15-'Сводные данные с индексацией'!F27+'Сводные данные с индексацией'!F32-'Сводные данные с индексацией'!F38-'Сводные данные с индексацией'!F40</f>
        <v>-6277008.5365737928</v>
      </c>
      <c r="H16" s="108">
        <f>G16-'Сводные данные с индексацией'!G19-'Сводные данные с индексацией'!G15-'Сводные данные с индексацией'!G27+'Сводные данные с индексацией'!G32-'Сводные данные с индексацией'!G38-'Сводные данные с индексацией'!G40</f>
        <v>13147484.065301206</v>
      </c>
      <c r="I16" s="108">
        <f>H16-'Сводные данные с индексацией'!H19-'Сводные данные с индексацией'!H15-'Сводные данные с индексацией'!H27+'Сводные данные с индексацией'!H32-'Сводные данные с индексацией'!H38-'Сводные данные с индексацией'!H40</f>
        <v>37578952.016687021</v>
      </c>
      <c r="J16" s="108">
        <f>I16-'Сводные данные с индексацией'!I19-'Сводные данные с индексацией'!I15-'Сводные данные с индексацией'!I27+'Сводные данные с индексацией'!I32-'Сводные данные с индексацией'!I38-'Сводные данные с индексацией'!I40</f>
        <v>37578952.016687013</v>
      </c>
      <c r="K16" s="108">
        <f>J16-'Сводные данные с индексацией'!J19-'Сводные данные с индексацией'!J15-'Сводные данные с индексацией'!J27+'Сводные данные с индексацией'!J32-'Сводные данные с индексацией'!J38-'Сводные данные с индексацией'!J40</f>
        <v>37132858.460798867</v>
      </c>
      <c r="L16" s="108">
        <f>K16-'Сводные данные с индексацией'!K19-'Сводные данные с индексацией'!K15-'Сводные данные с индексацией'!K27+'Сводные данные с индексацией'!K32-'Сводные данные с индексацией'!K38-'Сводные данные с индексацией'!K40</f>
        <v>37132858.460798867</v>
      </c>
      <c r="M16" s="108">
        <f>L16-'Сводные данные с индексацией'!L19-'Сводные данные с индексацией'!L15-'Сводные данные с индексацией'!L27+'Сводные данные с индексацией'!L32-'Сводные данные с индексацией'!L38-'Сводные данные с индексацией'!L40</f>
        <v>37132858.460798867</v>
      </c>
      <c r="N16" s="108">
        <f>M16-'Сводные данные с индексацией'!M19-'Сводные данные с индексацией'!M15-'Сводные данные с индексацией'!M27+'Сводные данные с индексацией'!M32-'Сводные данные с индексацией'!M38-'Сводные данные с индексацией'!M40</f>
        <v>37132858.460798867</v>
      </c>
      <c r="O16" s="108">
        <f>N16-'Сводные данные с индексацией'!N19-'Сводные данные с индексацией'!N15-'Сводные данные с индексацией'!N27+'Сводные данные с индексацией'!N32-'Сводные данные с индексацией'!N38-'Сводные данные с индексацией'!N40</f>
        <v>37131738.456310101</v>
      </c>
      <c r="P16" s="108">
        <f>O16-'Сводные данные с индексацией'!O19-'Сводные данные с индексацией'!O15-'Сводные данные с индексацией'!O27+'Сводные данные с индексацией'!O32-'Сводные данные с индексацией'!O38-'Сводные данные с индексацией'!O40</f>
        <v>37131738.456310101</v>
      </c>
      <c r="Q16" s="108">
        <f>P16-'Сводные данные с индексацией'!P19-'Сводные данные с индексацией'!P15-'Сводные данные с индексацией'!P27+'Сводные данные с индексацией'!P32-'Сводные данные с индексацией'!P38-'Сводные данные с индексацией'!P40</f>
        <v>37131738.456310101</v>
      </c>
      <c r="R16" s="108">
        <f>Q16-'Сводные данные с индексацией'!Q19-'Сводные данные с индексацией'!Q15-'Сводные данные с индексацией'!Q27+'Сводные данные с индексацией'!Q32-'Сводные данные с индексацией'!Q38-'Сводные данные с индексацией'!Q40</f>
        <v>37131738.456310101</v>
      </c>
      <c r="S16" s="108">
        <f>R16-'Сводные данные с индексацией'!R19-'Сводные данные с индексацией'!R15-'Сводные данные с индексацией'!R27+'Сводные данные с индексацией'!R32-'Сводные данные с индексацией'!R38-'Сводные данные с индексацией'!R40</f>
        <v>37131738.456310101</v>
      </c>
      <c r="T16" s="108">
        <f>S16-'Сводные данные с индексацией'!S19-'Сводные данные с индексацией'!S15-'Сводные данные с индексацией'!S27+'Сводные данные с индексацией'!S32-'Сводные данные с индексацией'!S38-'Сводные данные с индексацией'!S40</f>
        <v>37131738.456310101</v>
      </c>
      <c r="U16" s="108">
        <f>T16-'Сводные данные с индексацией'!T19-'Сводные данные с индексацией'!T15-'Сводные данные с индексацией'!T27+'Сводные данные с индексацией'!T32-'Сводные данные с индексацией'!T38-'Сводные данные с индексацией'!T40</f>
        <v>37131738.456310101</v>
      </c>
      <c r="V16" s="108">
        <f>U16-'Сводные данные с индексацией'!U19-'Сводные данные с индексацией'!U15-'Сводные данные с индексацией'!U27+'Сводные данные с индексацией'!U32-'Сводные данные с индексацией'!U38-'Сводные данные с индексацией'!U40</f>
        <v>37131738.456310101</v>
      </c>
      <c r="W16" s="108">
        <f>V16-'Сводные данные с индексацией'!V19-'Сводные данные с индексацией'!V15-'Сводные данные с индексацией'!V27+'Сводные данные с индексацией'!V32-'Сводные данные с индексацией'!V38-'Сводные данные с индексацией'!V40</f>
        <v>37131738.456310101</v>
      </c>
      <c r="X16" s="108">
        <f>W16-'Сводные данные с индексацией'!W19-'Сводные данные с индексацией'!W15-'Сводные данные с индексацией'!W27+'Сводные данные с индексацией'!W32-'Сводные данные с индексацией'!W38-'Сводные данные с индексацией'!W40</f>
        <v>37131738.456310101</v>
      </c>
      <c r="Y16" s="108">
        <f>X16-'Сводные данные с индексацией'!X19-'Сводные данные с индексацией'!X15-'Сводные данные с индексацией'!X27+'Сводные данные с индексацией'!X32-'Сводные данные с индексацией'!X38-'Сводные данные с индексацией'!X40</f>
        <v>37131738.456310101</v>
      </c>
      <c r="Z16" s="108">
        <f>Y16-'Сводные данные с индексацией'!Y19-'Сводные данные с индексацией'!Y15-'Сводные данные с индексацией'!Y27+'Сводные данные с индексацией'!Y32-'Сводные данные с индексацией'!Y38-'Сводные данные с индексацией'!Y40</f>
        <v>37131738.456310101</v>
      </c>
      <c r="AA16" s="108">
        <f>Z16-'Сводные данные с индексацией'!Z19-'Сводные данные с индексацией'!Z15-'Сводные данные с индексацией'!Z27+'Сводные данные с индексацией'!Z32-'Сводные данные с индексацией'!Z38-'Сводные данные с индексацией'!Z40</f>
        <v>37131738.456310101</v>
      </c>
      <c r="AB16" s="108">
        <f>AA16-'Сводные данные с индексацией'!AA19-'Сводные данные с индексацией'!AA15-'Сводные данные с индексацией'!AA27+'Сводные данные с индексацией'!AA32-'Сводные данные с индексацией'!AA38-'Сводные данные с индексацией'!AA40</f>
        <v>37131738.456310101</v>
      </c>
    </row>
    <row r="17" spans="2:28" x14ac:dyDescent="0.25">
      <c r="B17" s="257" t="s">
        <v>439</v>
      </c>
      <c r="C17" s="5"/>
      <c r="D17" s="260">
        <f>D16</f>
        <v>-742701.04733185191</v>
      </c>
      <c r="E17" s="260">
        <f t="shared" ref="E17:AB17" si="5">E16</f>
        <v>-3110815.8709008917</v>
      </c>
      <c r="F17" s="260">
        <f t="shared" si="5"/>
        <v>-4619403.9755487926</v>
      </c>
      <c r="G17" s="260">
        <f t="shared" si="5"/>
        <v>-6277008.5365737928</v>
      </c>
      <c r="H17" s="260">
        <f t="shared" si="5"/>
        <v>13147484.065301206</v>
      </c>
      <c r="I17" s="260">
        <f t="shared" si="5"/>
        <v>37578952.016687021</v>
      </c>
      <c r="J17" s="260">
        <f t="shared" si="5"/>
        <v>37578952.016687013</v>
      </c>
      <c r="K17" s="260">
        <f t="shared" si="5"/>
        <v>37132858.460798867</v>
      </c>
      <c r="L17" s="260">
        <f t="shared" si="5"/>
        <v>37132858.460798867</v>
      </c>
      <c r="M17" s="260">
        <f t="shared" si="5"/>
        <v>37132858.460798867</v>
      </c>
      <c r="N17" s="260">
        <f t="shared" si="5"/>
        <v>37132858.460798867</v>
      </c>
      <c r="O17" s="260">
        <f t="shared" si="5"/>
        <v>37131738.456310101</v>
      </c>
      <c r="P17" s="260">
        <f t="shared" si="5"/>
        <v>37131738.456310101</v>
      </c>
      <c r="Q17" s="260">
        <f t="shared" si="5"/>
        <v>37131738.456310101</v>
      </c>
      <c r="R17" s="260">
        <f t="shared" si="5"/>
        <v>37131738.456310101</v>
      </c>
      <c r="S17" s="260">
        <f t="shared" si="5"/>
        <v>37131738.456310101</v>
      </c>
      <c r="T17" s="260">
        <f t="shared" si="5"/>
        <v>37131738.456310101</v>
      </c>
      <c r="U17" s="260">
        <f t="shared" si="5"/>
        <v>37131738.456310101</v>
      </c>
      <c r="V17" s="260">
        <f t="shared" si="5"/>
        <v>37131738.456310101</v>
      </c>
      <c r="W17" s="260">
        <f t="shared" si="5"/>
        <v>37131738.456310101</v>
      </c>
      <c r="X17" s="260">
        <f t="shared" si="5"/>
        <v>37131738.456310101</v>
      </c>
      <c r="Y17" s="260">
        <f t="shared" si="5"/>
        <v>37131738.456310101</v>
      </c>
      <c r="Z17" s="260">
        <f t="shared" si="5"/>
        <v>37131738.456310101</v>
      </c>
      <c r="AA17" s="260">
        <f t="shared" si="5"/>
        <v>37131738.456310101</v>
      </c>
      <c r="AB17" s="260">
        <f t="shared" si="5"/>
        <v>37131738.456310101</v>
      </c>
    </row>
    <row r="18" spans="2:28" x14ac:dyDescent="0.25">
      <c r="B18" s="257" t="s">
        <v>440</v>
      </c>
      <c r="C18" s="5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  <c r="U18" s="258"/>
      <c r="V18" s="258"/>
      <c r="W18" s="258"/>
      <c r="X18" s="258"/>
      <c r="Y18" s="258"/>
      <c r="Z18" s="258"/>
      <c r="AA18" s="258"/>
      <c r="AB18" s="258"/>
    </row>
    <row r="19" spans="2:28" x14ac:dyDescent="0.25">
      <c r="B19" s="257"/>
      <c r="C19" s="18" t="s">
        <v>58</v>
      </c>
      <c r="D19" s="108">
        <f>'Сводные данные с индексацией'!C45</f>
        <v>4000000</v>
      </c>
      <c r="E19" s="108">
        <f>'Сводные данные с индексацией'!D45</f>
        <v>23500000</v>
      </c>
      <c r="F19" s="108">
        <f>'Сводные данные с индексацией'!E45</f>
        <v>40500000</v>
      </c>
      <c r="G19" s="108">
        <f>'Сводные данные с индексацией'!F45</f>
        <v>47403389</v>
      </c>
      <c r="H19" s="108">
        <f>'Сводные данные с индексацией'!G45</f>
        <v>27903389</v>
      </c>
      <c r="I19" s="108">
        <f>'Сводные данные с индексацией'!H45</f>
        <v>3403389</v>
      </c>
      <c r="J19" s="108">
        <f>'Сводные данные с индексацией'!I45</f>
        <v>0</v>
      </c>
      <c r="K19" s="108">
        <f>'Сводные данные с индексацией'!J45</f>
        <v>0</v>
      </c>
      <c r="L19" s="108">
        <f>'Сводные данные с индексацией'!K45</f>
        <v>0</v>
      </c>
      <c r="M19" s="108">
        <f>'Сводные данные с индексацией'!L45</f>
        <v>0</v>
      </c>
      <c r="N19" s="108">
        <f>'Сводные данные с индексацией'!M45</f>
        <v>0</v>
      </c>
      <c r="O19" s="108">
        <f>'Сводные данные с индексацией'!N45</f>
        <v>0</v>
      </c>
      <c r="P19" s="108">
        <f>'Сводные данные с индексацией'!O45</f>
        <v>0</v>
      </c>
      <c r="Q19" s="108">
        <f>'Сводные данные с индексацией'!P45</f>
        <v>0</v>
      </c>
      <c r="R19" s="108">
        <f>'Сводные данные с индексацией'!Q45</f>
        <v>0</v>
      </c>
      <c r="S19" s="108">
        <f>'Сводные данные с индексацией'!R45</f>
        <v>0</v>
      </c>
      <c r="T19" s="108">
        <f>'Сводные данные с индексацией'!S45</f>
        <v>0</v>
      </c>
      <c r="U19" s="108">
        <f>'Сводные данные с индексацией'!T45</f>
        <v>0</v>
      </c>
      <c r="V19" s="108">
        <f>'Сводные данные с индексацией'!U45</f>
        <v>0</v>
      </c>
      <c r="W19" s="108">
        <f>'Сводные данные с индексацией'!V45</f>
        <v>0</v>
      </c>
      <c r="X19" s="108">
        <f>'Сводные данные с индексацией'!W45</f>
        <v>0</v>
      </c>
      <c r="Y19" s="108">
        <f>'Сводные данные с индексацией'!X45</f>
        <v>0</v>
      </c>
      <c r="Z19" s="108">
        <f>'Сводные данные с индексацией'!Y45</f>
        <v>0</v>
      </c>
      <c r="AA19" s="108">
        <f>'Сводные данные с индексацией'!Z45</f>
        <v>0</v>
      </c>
      <c r="AB19" s="108">
        <f>'Сводные данные с индексацией'!AA45</f>
        <v>0</v>
      </c>
    </row>
    <row r="20" spans="2:28" ht="15.75" thickBot="1" x14ac:dyDescent="0.3">
      <c r="B20" s="264" t="s">
        <v>441</v>
      </c>
      <c r="C20" s="265"/>
      <c r="D20" s="263">
        <f>D19</f>
        <v>4000000</v>
      </c>
      <c r="E20" s="263">
        <f t="shared" ref="E20:AB20" si="6">E19</f>
        <v>23500000</v>
      </c>
      <c r="F20" s="263">
        <f t="shared" si="6"/>
        <v>40500000</v>
      </c>
      <c r="G20" s="263">
        <f t="shared" si="6"/>
        <v>47403389</v>
      </c>
      <c r="H20" s="263">
        <f t="shared" si="6"/>
        <v>27903389</v>
      </c>
      <c r="I20" s="263">
        <f t="shared" si="6"/>
        <v>3403389</v>
      </c>
      <c r="J20" s="263">
        <f t="shared" si="6"/>
        <v>0</v>
      </c>
      <c r="K20" s="263">
        <f t="shared" si="6"/>
        <v>0</v>
      </c>
      <c r="L20" s="263">
        <f t="shared" si="6"/>
        <v>0</v>
      </c>
      <c r="M20" s="263">
        <f t="shared" si="6"/>
        <v>0</v>
      </c>
      <c r="N20" s="263">
        <f t="shared" si="6"/>
        <v>0</v>
      </c>
      <c r="O20" s="263">
        <f t="shared" si="6"/>
        <v>0</v>
      </c>
      <c r="P20" s="263">
        <f t="shared" si="6"/>
        <v>0</v>
      </c>
      <c r="Q20" s="263">
        <f t="shared" si="6"/>
        <v>0</v>
      </c>
      <c r="R20" s="263">
        <f t="shared" si="6"/>
        <v>0</v>
      </c>
      <c r="S20" s="263">
        <f t="shared" si="6"/>
        <v>0</v>
      </c>
      <c r="T20" s="263">
        <f t="shared" si="6"/>
        <v>0</v>
      </c>
      <c r="U20" s="263">
        <f t="shared" si="6"/>
        <v>0</v>
      </c>
      <c r="V20" s="263">
        <f t="shared" si="6"/>
        <v>0</v>
      </c>
      <c r="W20" s="263">
        <f t="shared" si="6"/>
        <v>0</v>
      </c>
      <c r="X20" s="263">
        <f t="shared" si="6"/>
        <v>0</v>
      </c>
      <c r="Y20" s="263">
        <f t="shared" si="6"/>
        <v>0</v>
      </c>
      <c r="Z20" s="263">
        <f t="shared" si="6"/>
        <v>0</v>
      </c>
      <c r="AA20" s="263">
        <f t="shared" si="6"/>
        <v>0</v>
      </c>
      <c r="AB20" s="263">
        <f t="shared" si="6"/>
        <v>0</v>
      </c>
    </row>
    <row r="23" spans="2:28" x14ac:dyDescent="0.25">
      <c r="F23" s="266"/>
      <c r="AB23" s="266"/>
    </row>
  </sheetData>
  <hyperlinks>
    <hyperlink ref="A1" location="Структура!A1" display="к содержанию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B2:C38"/>
  <sheetViews>
    <sheetView zoomScale="87" zoomScaleNormal="87" workbookViewId="0">
      <selection activeCell="E22" sqref="E22"/>
    </sheetView>
  </sheetViews>
  <sheetFormatPr defaultRowHeight="15" x14ac:dyDescent="0.25"/>
  <cols>
    <col min="2" max="2" width="75.7109375" customWidth="1"/>
    <col min="3" max="3" width="19.5703125" bestFit="1" customWidth="1"/>
  </cols>
  <sheetData>
    <row r="2" spans="2:3" ht="18.75" x14ac:dyDescent="0.3">
      <c r="B2" s="194" t="s">
        <v>327</v>
      </c>
    </row>
    <row r="3" spans="2:3" ht="18.75" x14ac:dyDescent="0.3">
      <c r="B3" s="36" t="s">
        <v>317</v>
      </c>
      <c r="C3" s="195">
        <v>2038</v>
      </c>
    </row>
    <row r="4" spans="2:3" ht="18.75" x14ac:dyDescent="0.3">
      <c r="B4" s="36" t="s">
        <v>318</v>
      </c>
      <c r="C4" s="195">
        <v>1002.3</v>
      </c>
    </row>
    <row r="5" spans="2:3" ht="18.75" x14ac:dyDescent="0.3">
      <c r="B5" s="36" t="s">
        <v>319</v>
      </c>
      <c r="C5" s="196">
        <v>1</v>
      </c>
    </row>
    <row r="6" spans="2:3" ht="18.75" x14ac:dyDescent="0.3">
      <c r="B6" s="36" t="s">
        <v>320</v>
      </c>
      <c r="C6" s="196">
        <v>3</v>
      </c>
    </row>
    <row r="7" spans="2:3" ht="18.75" x14ac:dyDescent="0.3">
      <c r="B7" s="36" t="s">
        <v>293</v>
      </c>
      <c r="C7" s="144">
        <f>C13</f>
        <v>47403329.202309988</v>
      </c>
    </row>
    <row r="8" spans="2:3" ht="18.75" x14ac:dyDescent="0.3">
      <c r="B8" s="36" t="s">
        <v>321</v>
      </c>
      <c r="C8" s="144">
        <f>C26</f>
        <v>44765294.675327979</v>
      </c>
    </row>
    <row r="9" spans="2:3" ht="18.75" x14ac:dyDescent="0.3">
      <c r="B9" s="36" t="s">
        <v>322</v>
      </c>
      <c r="C9" s="144">
        <f>C7-C8</f>
        <v>2638034.5269820094</v>
      </c>
    </row>
    <row r="10" spans="2:3" ht="18.75" x14ac:dyDescent="0.3">
      <c r="B10" s="36" t="s">
        <v>323</v>
      </c>
      <c r="C10" s="144">
        <f>'ОДДС и показатели Инвестора'!C3</f>
        <v>687365.24927198258</v>
      </c>
    </row>
    <row r="11" spans="2:3" ht="18.75" x14ac:dyDescent="0.3">
      <c r="B11" s="36" t="s">
        <v>324</v>
      </c>
      <c r="C11" s="197">
        <f>'Сравнительное преимущество'!C101:D101</f>
        <v>3.3505879923251602E-2</v>
      </c>
    </row>
    <row r="13" spans="2:3" ht="18.75" x14ac:dyDescent="0.3">
      <c r="B13" s="192" t="s">
        <v>325</v>
      </c>
      <c r="C13" s="193">
        <f>SUM(C14:C23)</f>
        <v>47403329.202309988</v>
      </c>
    </row>
    <row r="14" spans="2:3" ht="15.75" x14ac:dyDescent="0.25">
      <c r="B14" s="143" t="s">
        <v>250</v>
      </c>
      <c r="C14" s="144">
        <f>'Сводные данные с индексацией'!AB$12</f>
        <v>39769771.543669023</v>
      </c>
    </row>
    <row r="15" spans="2:3" ht="15.75" x14ac:dyDescent="0.25">
      <c r="B15" s="143" t="s">
        <v>256</v>
      </c>
      <c r="C15" s="144">
        <f>'Сводные данные с индексацией'!AB$25</f>
        <v>2029257.3284476975</v>
      </c>
    </row>
    <row r="16" spans="2:3" ht="15.75" x14ac:dyDescent="0.25">
      <c r="B16" s="143" t="s">
        <v>50</v>
      </c>
      <c r="C16" s="144">
        <f>'Сводные данные с индексацией'!AB$26</f>
        <v>608777.19853430928</v>
      </c>
    </row>
    <row r="17" spans="2:3" ht="15.75" x14ac:dyDescent="0.25">
      <c r="B17" s="143" t="s">
        <v>231</v>
      </c>
      <c r="C17" s="144">
        <f>'Сводные данные с индексацией'!AB$19</f>
        <v>3025897.1943750004</v>
      </c>
    </row>
    <row r="18" spans="2:3" ht="15.75" x14ac:dyDescent="0.25">
      <c r="B18" s="143" t="s">
        <v>444</v>
      </c>
      <c r="C18" s="144">
        <f>'Сводные данные с индексацией'!AB$23</f>
        <v>1216721.0469137721</v>
      </c>
    </row>
    <row r="19" spans="2:3" ht="15.75" x14ac:dyDescent="0.25">
      <c r="B19" s="143" t="s">
        <v>63</v>
      </c>
      <c r="C19" s="144">
        <f>'Сводные данные с индексацией'!AB$24</f>
        <v>131288.45430868788</v>
      </c>
    </row>
    <row r="20" spans="2:3" ht="15.75" x14ac:dyDescent="0.25">
      <c r="B20" s="143" t="s">
        <v>249</v>
      </c>
      <c r="C20" s="144">
        <f>'Сводные данные с индексацией'!AB$15</f>
        <v>156555.35811035035</v>
      </c>
    </row>
    <row r="21" spans="2:3" ht="15.75" x14ac:dyDescent="0.25">
      <c r="B21" s="143" t="s">
        <v>251</v>
      </c>
      <c r="C21" s="144">
        <f>'Сводные данные с индексацией'!AB$40</f>
        <v>17846.077951134819</v>
      </c>
    </row>
    <row r="22" spans="2:3" ht="15.75" x14ac:dyDescent="0.25">
      <c r="B22" s="143" t="s">
        <v>246</v>
      </c>
      <c r="C22" s="144">
        <f>'Сводные данные с индексацией'!AB$38</f>
        <v>447213.56037691777</v>
      </c>
    </row>
    <row r="23" spans="2:3" ht="15.75" x14ac:dyDescent="0.25">
      <c r="B23" s="143" t="s">
        <v>232</v>
      </c>
      <c r="C23" s="144">
        <f>'Сводные данные с индексацией'!AA$44+'Сводные данные с индексацией'!AB25+'Сводные данные с индексацией'!AB26</f>
        <v>1.4396230882266536</v>
      </c>
    </row>
    <row r="26" spans="2:3" ht="18.75" x14ac:dyDescent="0.3">
      <c r="B26" s="192" t="s">
        <v>326</v>
      </c>
      <c r="C26" s="193">
        <f>SUM(C27:C36)</f>
        <v>44765294.675327979</v>
      </c>
    </row>
    <row r="27" spans="2:3" ht="15.75" x14ac:dyDescent="0.25">
      <c r="B27" s="143" t="s">
        <v>250</v>
      </c>
      <c r="C27" s="144">
        <f>'Сводные данные с индексацией'!AB$12</f>
        <v>39769771.543669023</v>
      </c>
    </row>
    <row r="28" spans="2:3" ht="15.75" x14ac:dyDescent="0.25">
      <c r="B28" s="143" t="s">
        <v>256</v>
      </c>
      <c r="C28" s="144">
        <v>0</v>
      </c>
    </row>
    <row r="29" spans="2:3" ht="15.75" x14ac:dyDescent="0.25">
      <c r="B29" s="143" t="s">
        <v>50</v>
      </c>
      <c r="C29" s="144">
        <v>0</v>
      </c>
    </row>
    <row r="30" spans="2:3" ht="15.75" x14ac:dyDescent="0.25">
      <c r="B30" s="143" t="s">
        <v>231</v>
      </c>
      <c r="C30" s="144">
        <f>'Сводные данные с индексацией'!AB$19</f>
        <v>3025897.1943750004</v>
      </c>
    </row>
    <row r="31" spans="2:3" ht="15.75" x14ac:dyDescent="0.25">
      <c r="B31" s="143" t="s">
        <v>444</v>
      </c>
      <c r="C31" s="144">
        <f>'Сводные данные с индексацией'!AB$23</f>
        <v>1216721.0469137721</v>
      </c>
    </row>
    <row r="32" spans="2:3" ht="15.75" x14ac:dyDescent="0.25">
      <c r="B32" s="143" t="s">
        <v>63</v>
      </c>
      <c r="C32" s="144">
        <f>'Сводные данные с индексацией'!AB$24</f>
        <v>131288.45430868788</v>
      </c>
    </row>
    <row r="33" spans="2:3" ht="15.75" x14ac:dyDescent="0.25">
      <c r="B33" s="143" t="s">
        <v>249</v>
      </c>
      <c r="C33" s="144">
        <f>'Сводные данные с индексацией'!AB$15</f>
        <v>156555.35811035035</v>
      </c>
    </row>
    <row r="34" spans="2:3" ht="15.75" x14ac:dyDescent="0.25">
      <c r="B34" s="143" t="s">
        <v>251</v>
      </c>
      <c r="C34" s="144">
        <f>'Сводные данные с индексацией'!AB$40</f>
        <v>17846.077951134819</v>
      </c>
    </row>
    <row r="35" spans="2:3" ht="15.75" x14ac:dyDescent="0.25">
      <c r="B35" s="143" t="s">
        <v>246</v>
      </c>
      <c r="C35" s="144">
        <f>'Сводные данные с индексацией'!AB$38</f>
        <v>447213.56037691777</v>
      </c>
    </row>
    <row r="36" spans="2:3" ht="15.75" x14ac:dyDescent="0.25">
      <c r="B36" s="143" t="s">
        <v>232</v>
      </c>
      <c r="C36" s="144">
        <f>'Сводные данные с индексацией'!AA$44+C15+C16</f>
        <v>1.4396230882266536</v>
      </c>
    </row>
    <row r="38" spans="2:3" ht="15.75" x14ac:dyDescent="0.25">
      <c r="B38" s="147"/>
    </row>
  </sheetData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32"/>
  <sheetViews>
    <sheetView workbookViewId="0">
      <selection activeCell="I13" sqref="I13"/>
    </sheetView>
  </sheetViews>
  <sheetFormatPr defaultRowHeight="15" x14ac:dyDescent="0.25"/>
  <cols>
    <col min="1" max="1" width="4.5703125" customWidth="1"/>
    <col min="2" max="2" width="40" customWidth="1"/>
    <col min="3" max="3" width="58" customWidth="1"/>
  </cols>
  <sheetData>
    <row r="1" spans="1:3" x14ac:dyDescent="0.25">
      <c r="B1" t="s">
        <v>220</v>
      </c>
    </row>
    <row r="2" spans="1:3" x14ac:dyDescent="0.25">
      <c r="C2" s="2"/>
    </row>
    <row r="3" spans="1:3" ht="18.75" x14ac:dyDescent="0.3">
      <c r="B3" s="15" t="s">
        <v>314</v>
      </c>
    </row>
    <row r="5" spans="1:3" ht="60" x14ac:dyDescent="0.25">
      <c r="A5">
        <v>2</v>
      </c>
      <c r="B5" s="7" t="s">
        <v>0</v>
      </c>
      <c r="C5" s="6" t="s">
        <v>96</v>
      </c>
    </row>
    <row r="6" spans="1:3" ht="30" x14ac:dyDescent="0.25">
      <c r="A6">
        <v>3</v>
      </c>
      <c r="B6" s="7" t="s">
        <v>97</v>
      </c>
      <c r="C6" s="6" t="s">
        <v>98</v>
      </c>
    </row>
    <row r="7" spans="1:3" x14ac:dyDescent="0.25">
      <c r="A7">
        <v>4</v>
      </c>
      <c r="B7" s="7" t="s">
        <v>99</v>
      </c>
      <c r="C7" s="6" t="s">
        <v>100</v>
      </c>
    </row>
    <row r="8" spans="1:3" ht="30" x14ac:dyDescent="0.25">
      <c r="A8">
        <v>5</v>
      </c>
      <c r="B8" s="7" t="s">
        <v>64</v>
      </c>
      <c r="C8" s="6" t="s">
        <v>101</v>
      </c>
    </row>
    <row r="9" spans="1:3" ht="30" x14ac:dyDescent="0.25">
      <c r="A9">
        <v>6</v>
      </c>
      <c r="B9" s="7" t="s">
        <v>106</v>
      </c>
      <c r="C9" s="6" t="s">
        <v>107</v>
      </c>
    </row>
    <row r="10" spans="1:3" x14ac:dyDescent="0.25">
      <c r="A10">
        <v>7</v>
      </c>
      <c r="B10" s="7" t="s">
        <v>58</v>
      </c>
      <c r="C10" s="6" t="s">
        <v>218</v>
      </c>
    </row>
    <row r="11" spans="1:3" ht="30" x14ac:dyDescent="0.25">
      <c r="A11">
        <v>8</v>
      </c>
      <c r="B11" s="7" t="s">
        <v>51</v>
      </c>
      <c r="C11" s="6" t="s">
        <v>219</v>
      </c>
    </row>
    <row r="12" spans="1:3" ht="75" x14ac:dyDescent="0.25">
      <c r="A12">
        <v>9</v>
      </c>
      <c r="B12" s="7" t="s">
        <v>174</v>
      </c>
      <c r="C12" s="6" t="s">
        <v>230</v>
      </c>
    </row>
    <row r="13" spans="1:3" ht="45" x14ac:dyDescent="0.25">
      <c r="A13">
        <v>10</v>
      </c>
      <c r="B13" s="7" t="s">
        <v>176</v>
      </c>
      <c r="C13" s="6" t="s">
        <v>175</v>
      </c>
    </row>
    <row r="14" spans="1:3" ht="45" x14ac:dyDescent="0.25">
      <c r="A14">
        <v>11</v>
      </c>
      <c r="B14" s="7" t="s">
        <v>177</v>
      </c>
      <c r="C14" s="6" t="s">
        <v>8</v>
      </c>
    </row>
    <row r="15" spans="1:3" x14ac:dyDescent="0.25">
      <c r="A15">
        <v>12</v>
      </c>
      <c r="B15" s="7" t="s">
        <v>3</v>
      </c>
      <c r="C15" s="6" t="s">
        <v>5</v>
      </c>
    </row>
    <row r="16" spans="1:3" ht="30" x14ac:dyDescent="0.25">
      <c r="A16">
        <v>13</v>
      </c>
      <c r="B16" s="7" t="s">
        <v>2</v>
      </c>
      <c r="C16" s="6" t="s">
        <v>55</v>
      </c>
    </row>
    <row r="17" spans="1:6" ht="30" x14ac:dyDescent="0.25">
      <c r="A17">
        <v>14</v>
      </c>
      <c r="B17" s="7" t="s">
        <v>4</v>
      </c>
      <c r="C17" s="6" t="s">
        <v>6</v>
      </c>
    </row>
    <row r="18" spans="1:6" ht="60" x14ac:dyDescent="0.25">
      <c r="A18">
        <v>15</v>
      </c>
      <c r="B18" s="8" t="s">
        <v>7</v>
      </c>
      <c r="C18" s="9" t="s">
        <v>178</v>
      </c>
    </row>
    <row r="19" spans="1:6" x14ac:dyDescent="0.25">
      <c r="B19" s="10"/>
      <c r="C19" s="11"/>
    </row>
    <row r="20" spans="1:6" x14ac:dyDescent="0.25">
      <c r="B20" s="12"/>
      <c r="C20" s="4"/>
    </row>
    <row r="21" spans="1:6" x14ac:dyDescent="0.25">
      <c r="B21" s="12"/>
      <c r="C21" s="4"/>
    </row>
    <row r="22" spans="1:6" x14ac:dyDescent="0.25">
      <c r="B22" s="12"/>
      <c r="C22" s="4"/>
    </row>
    <row r="23" spans="1:6" x14ac:dyDescent="0.25">
      <c r="B23" s="12"/>
      <c r="C23" s="4"/>
    </row>
    <row r="24" spans="1:6" x14ac:dyDescent="0.25">
      <c r="B24" s="12"/>
      <c r="C24" s="4"/>
      <c r="F24" s="5"/>
    </row>
    <row r="25" spans="1:6" x14ac:dyDescent="0.25">
      <c r="B25" s="12"/>
      <c r="C25" s="4"/>
    </row>
    <row r="26" spans="1:6" x14ac:dyDescent="0.25">
      <c r="B26" s="12"/>
      <c r="C26" s="4"/>
    </row>
    <row r="27" spans="1:6" x14ac:dyDescent="0.25">
      <c r="B27" s="12"/>
      <c r="C27" s="4"/>
    </row>
    <row r="28" spans="1:6" x14ac:dyDescent="0.25">
      <c r="B28" s="13"/>
      <c r="C28" s="14"/>
    </row>
    <row r="29" spans="1:6" x14ac:dyDescent="0.25">
      <c r="B29" s="13"/>
      <c r="C29" s="14"/>
    </row>
    <row r="30" spans="1:6" x14ac:dyDescent="0.25">
      <c r="C30" s="3"/>
    </row>
    <row r="31" spans="1:6" x14ac:dyDescent="0.25">
      <c r="C31" s="3"/>
    </row>
    <row r="32" spans="1:6" x14ac:dyDescent="0.25">
      <c r="C32" s="3"/>
    </row>
  </sheetData>
  <hyperlinks>
    <hyperlink ref="B5" location="Параметры!A1" display="Параметры"/>
    <hyperlink ref="B12" location="'Сводные данные'!A1" display="Сводные данные"/>
    <hyperlink ref="B14" location="'ОДДС и показатели Инвестора'!A1" display="ОДДС и показатели Инвестора"/>
    <hyperlink ref="B15" location="'Прогнозный ОПУ'!A1" display="Пронозный отчет оприбылях и убытках"/>
    <hyperlink ref="B16" location="'Прогнозный баланс'!A1" display="Прогнозный баланс по перидам прогнозирования"/>
    <hyperlink ref="B17" location="'Соц-эконом эффект'!A1" display="Социально-экономический эффект от Проекта"/>
    <hyperlink ref="B18" location="'Сравнительное преимущество'!A1" display="Определение сравнительного преимущества Проекта"/>
    <hyperlink ref="B6" location="'Строительная смета'!A1" display="Строительная смета"/>
    <hyperlink ref="B7" location="'Штатное расписание'!A1" display="Штатное расписание"/>
    <hyperlink ref="B8" location="'Эксплуатация и ТО'!A1" display="Эксплуатация и ТО"/>
    <hyperlink ref="B9" location="'Аренда зем. уч.'!A1" display="Аренда земли"/>
    <hyperlink ref="B13" location="'Сводные данные с индексацией'!A1" display="Сводные данные с индексацией"/>
    <hyperlink ref="B10" location="'Заемные средства'!A1" display="Заемные средства"/>
    <hyperlink ref="B11" location="'Бюджетное финансирование'!A1" display="Бюджетное финансирование"/>
  </hyperlink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D36"/>
  <sheetViews>
    <sheetView topLeftCell="A4" workbookViewId="0">
      <selection activeCell="G18" sqref="G18"/>
    </sheetView>
  </sheetViews>
  <sheetFormatPr defaultRowHeight="15" x14ac:dyDescent="0.25"/>
  <cols>
    <col min="1" max="1" width="10.5703125" customWidth="1"/>
    <col min="2" max="2" width="47" bestFit="1" customWidth="1"/>
  </cols>
  <sheetData>
    <row r="1" spans="1:3" x14ac:dyDescent="0.25">
      <c r="A1" s="1" t="s">
        <v>1</v>
      </c>
    </row>
    <row r="3" spans="1:3" ht="18.75" x14ac:dyDescent="0.3">
      <c r="B3" s="16" t="s">
        <v>179</v>
      </c>
    </row>
    <row r="4" spans="1:3" ht="18.75" x14ac:dyDescent="0.3">
      <c r="B4" s="16"/>
    </row>
    <row r="5" spans="1:3" x14ac:dyDescent="0.25">
      <c r="B5" s="107" t="s">
        <v>16</v>
      </c>
    </row>
    <row r="6" spans="1:3" x14ac:dyDescent="0.25">
      <c r="B6" s="18" t="s">
        <v>60</v>
      </c>
      <c r="C6" s="20" t="s">
        <v>14</v>
      </c>
    </row>
    <row r="7" spans="1:3" x14ac:dyDescent="0.25">
      <c r="B7" s="18" t="s">
        <v>61</v>
      </c>
      <c r="C7" s="21">
        <v>3</v>
      </c>
    </row>
    <row r="8" spans="1:3" x14ac:dyDescent="0.25">
      <c r="B8" s="18" t="s">
        <v>15</v>
      </c>
      <c r="C8" s="21">
        <v>6</v>
      </c>
    </row>
    <row r="10" spans="1:3" x14ac:dyDescent="0.25">
      <c r="B10" s="107" t="s">
        <v>68</v>
      </c>
    </row>
    <row r="11" spans="1:3" x14ac:dyDescent="0.25">
      <c r="B11" s="18" t="s">
        <v>74</v>
      </c>
      <c r="C11" s="22">
        <v>0.04</v>
      </c>
    </row>
    <row r="12" spans="1:3" x14ac:dyDescent="0.25">
      <c r="B12" s="5"/>
      <c r="C12" s="5"/>
    </row>
    <row r="13" spans="1:3" x14ac:dyDescent="0.25">
      <c r="B13" s="107" t="s">
        <v>9</v>
      </c>
    </row>
    <row r="14" spans="1:3" ht="30" x14ac:dyDescent="0.25">
      <c r="B14" s="17" t="s">
        <v>234</v>
      </c>
      <c r="C14" s="22">
        <v>5.3699999999999998E-2</v>
      </c>
    </row>
    <row r="15" spans="1:3" ht="30" x14ac:dyDescent="0.25">
      <c r="B15" s="17" t="s">
        <v>10</v>
      </c>
      <c r="C15" s="23">
        <f>C14</f>
        <v>5.3699999999999998E-2</v>
      </c>
    </row>
    <row r="16" spans="1:3" ht="30" x14ac:dyDescent="0.25">
      <c r="B16" s="25" t="s">
        <v>11</v>
      </c>
      <c r="C16" s="23">
        <f>C14</f>
        <v>5.3699999999999998E-2</v>
      </c>
    </row>
    <row r="17" spans="2:4" x14ac:dyDescent="0.25">
      <c r="B17" s="25" t="s">
        <v>65</v>
      </c>
      <c r="C17" s="22">
        <v>4.2500000000000003E-2</v>
      </c>
    </row>
    <row r="18" spans="2:4" ht="30" x14ac:dyDescent="0.25">
      <c r="B18" s="17" t="s">
        <v>67</v>
      </c>
      <c r="C18" s="22">
        <f>C17+0.03</f>
        <v>7.2500000000000009E-2</v>
      </c>
    </row>
    <row r="19" spans="2:4" ht="30" x14ac:dyDescent="0.25">
      <c r="B19" s="17" t="s">
        <v>66</v>
      </c>
      <c r="C19" s="35">
        <f>C17+0.04</f>
        <v>8.2500000000000004E-2</v>
      </c>
    </row>
    <row r="20" spans="2:4" x14ac:dyDescent="0.25">
      <c r="B20" s="19" t="s">
        <v>13</v>
      </c>
      <c r="C20" s="23">
        <f>C18*0+C19*1</f>
        <v>8.2500000000000004E-2</v>
      </c>
    </row>
    <row r="21" spans="2:4" x14ac:dyDescent="0.25">
      <c r="B21" s="17" t="s">
        <v>12</v>
      </c>
      <c r="C21" s="23">
        <f>C20</f>
        <v>8.2500000000000004E-2</v>
      </c>
    </row>
    <row r="23" spans="2:4" x14ac:dyDescent="0.25">
      <c r="B23" s="109" t="s">
        <v>180</v>
      </c>
    </row>
    <row r="24" spans="2:4" x14ac:dyDescent="0.25">
      <c r="B24" s="18" t="s">
        <v>17</v>
      </c>
      <c r="C24" s="22">
        <v>0</v>
      </c>
    </row>
    <row r="25" spans="2:4" x14ac:dyDescent="0.25">
      <c r="B25" s="18" t="s">
        <v>18</v>
      </c>
      <c r="C25" s="22">
        <v>0.2</v>
      </c>
    </row>
    <row r="26" spans="2:4" x14ac:dyDescent="0.25">
      <c r="B26" s="18" t="s">
        <v>235</v>
      </c>
      <c r="C26" s="22">
        <v>0.01</v>
      </c>
      <c r="D26" s="22">
        <v>0.15</v>
      </c>
    </row>
    <row r="27" spans="2:4" x14ac:dyDescent="0.25">
      <c r="B27" s="112" t="s">
        <v>19</v>
      </c>
      <c r="C27" s="113">
        <f>SUM(C28:C30)</f>
        <v>0.30000000000000004</v>
      </c>
    </row>
    <row r="28" spans="2:4" x14ac:dyDescent="0.25">
      <c r="B28" s="18" t="s">
        <v>181</v>
      </c>
      <c r="C28" s="22">
        <v>0.22</v>
      </c>
    </row>
    <row r="29" spans="2:4" x14ac:dyDescent="0.25">
      <c r="B29" s="18" t="s">
        <v>182</v>
      </c>
      <c r="C29" s="22">
        <v>5.0999999999999997E-2</v>
      </c>
    </row>
    <row r="30" spans="2:4" x14ac:dyDescent="0.25">
      <c r="B30" s="18" t="s">
        <v>183</v>
      </c>
      <c r="C30" s="22">
        <v>2.9000000000000001E-2</v>
      </c>
    </row>
    <row r="31" spans="2:4" x14ac:dyDescent="0.25">
      <c r="B31" s="18" t="s">
        <v>88</v>
      </c>
      <c r="C31" s="22">
        <v>0.25</v>
      </c>
    </row>
    <row r="32" spans="2:4" x14ac:dyDescent="0.25">
      <c r="B32" s="18" t="s">
        <v>20</v>
      </c>
      <c r="C32" s="22">
        <v>0.13</v>
      </c>
    </row>
    <row r="34" spans="2:3" x14ac:dyDescent="0.25">
      <c r="B34" s="107" t="s">
        <v>71</v>
      </c>
    </row>
    <row r="35" spans="2:3" x14ac:dyDescent="0.25">
      <c r="B35" s="18" t="s">
        <v>72</v>
      </c>
      <c r="C35" s="22">
        <v>0.03</v>
      </c>
    </row>
    <row r="36" spans="2:3" x14ac:dyDescent="0.25">
      <c r="B36" s="18" t="s">
        <v>73</v>
      </c>
      <c r="C36" s="22">
        <v>0.01</v>
      </c>
    </row>
  </sheetData>
  <hyperlinks>
    <hyperlink ref="A1" location="Структура!A1" display="к содержанию"/>
  </hyperlinks>
  <pageMargins left="0.7" right="0.7" top="0.75" bottom="0.75" header="0.3" footer="0.3"/>
  <pageSetup paperSize="9" orientation="portrait" horizontalDpi="180" verticalDpi="180" r:id="rId1"/>
  <ignoredErrors>
    <ignoredError sqref="C2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92D050"/>
  </sheetPr>
  <dimension ref="A1:Q42"/>
  <sheetViews>
    <sheetView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H4" sqref="H4:P4"/>
    </sheetView>
  </sheetViews>
  <sheetFormatPr defaultRowHeight="15" x14ac:dyDescent="0.25"/>
  <cols>
    <col min="1" max="1" width="9.140625" customWidth="1"/>
    <col min="2" max="2" width="6.42578125" customWidth="1"/>
    <col min="3" max="3" width="46.7109375" customWidth="1"/>
    <col min="5" max="5" width="11.5703125" bestFit="1" customWidth="1"/>
    <col min="6" max="6" width="13.140625" customWidth="1"/>
    <col min="7" max="7" width="11.85546875" customWidth="1"/>
    <col min="8" max="8" width="10.140625" bestFit="1" customWidth="1"/>
    <col min="9" max="10" width="11.28515625" bestFit="1" customWidth="1"/>
    <col min="11" max="15" width="10.140625" bestFit="1" customWidth="1"/>
    <col min="16" max="16" width="10" bestFit="1" customWidth="1"/>
    <col min="17" max="17" width="14" customWidth="1"/>
  </cols>
  <sheetData>
    <row r="1" spans="1:17" x14ac:dyDescent="0.25">
      <c r="A1" s="1" t="s">
        <v>1</v>
      </c>
    </row>
    <row r="3" spans="1:17" ht="19.5" thickBot="1" x14ac:dyDescent="0.3">
      <c r="B3" s="59" t="s">
        <v>112</v>
      </c>
      <c r="C3" s="59"/>
      <c r="D3" s="59"/>
      <c r="E3" s="59"/>
      <c r="F3" s="59"/>
      <c r="G3" s="59"/>
      <c r="H3" s="58"/>
      <c r="I3" s="58"/>
      <c r="J3" s="58"/>
      <c r="K3" s="58"/>
      <c r="L3" s="58"/>
      <c r="M3" s="58"/>
      <c r="N3" s="58"/>
      <c r="O3" s="58"/>
      <c r="P3" s="58"/>
    </row>
    <row r="4" spans="1:17" ht="30.75" thickBot="1" x14ac:dyDescent="0.3">
      <c r="B4" s="68" t="s">
        <v>75</v>
      </c>
      <c r="C4" s="69" t="s">
        <v>113</v>
      </c>
      <c r="D4" s="69" t="s">
        <v>114</v>
      </c>
      <c r="E4" s="70" t="s">
        <v>115</v>
      </c>
      <c r="F4" s="70" t="s">
        <v>116</v>
      </c>
      <c r="G4" s="148" t="s">
        <v>252</v>
      </c>
      <c r="H4" s="149" t="s">
        <v>117</v>
      </c>
      <c r="I4" s="149" t="s">
        <v>118</v>
      </c>
      <c r="J4" s="149" t="s">
        <v>119</v>
      </c>
      <c r="K4" s="149" t="s">
        <v>120</v>
      </c>
      <c r="L4" s="149" t="s">
        <v>121</v>
      </c>
      <c r="M4" s="149" t="s">
        <v>122</v>
      </c>
      <c r="N4" s="149" t="s">
        <v>123</v>
      </c>
      <c r="O4" s="149" t="s">
        <v>124</v>
      </c>
      <c r="P4" s="149" t="s">
        <v>253</v>
      </c>
    </row>
    <row r="5" spans="1:17" x14ac:dyDescent="0.25">
      <c r="B5" s="71">
        <v>1</v>
      </c>
      <c r="C5" s="72" t="s">
        <v>125</v>
      </c>
      <c r="D5" s="73"/>
      <c r="E5" s="74"/>
      <c r="F5" s="74"/>
      <c r="G5" s="75"/>
      <c r="H5" s="92"/>
      <c r="I5" s="93"/>
      <c r="J5" s="93"/>
      <c r="K5" s="93"/>
      <c r="L5" s="93"/>
      <c r="M5" s="93"/>
      <c r="N5" s="93"/>
      <c r="O5" s="93"/>
      <c r="P5" s="93"/>
    </row>
    <row r="6" spans="1:17" x14ac:dyDescent="0.25">
      <c r="B6" s="76">
        <v>1</v>
      </c>
      <c r="C6" s="77" t="s">
        <v>126</v>
      </c>
      <c r="D6" s="78">
        <v>1000</v>
      </c>
      <c r="E6" s="79">
        <v>2200</v>
      </c>
      <c r="F6" s="80" t="s">
        <v>127</v>
      </c>
      <c r="G6" s="81">
        <v>2200000</v>
      </c>
      <c r="H6" s="94"/>
      <c r="I6" s="95"/>
      <c r="J6" s="95"/>
      <c r="K6" s="95"/>
      <c r="L6" s="95"/>
      <c r="M6" s="95"/>
      <c r="N6" s="95"/>
      <c r="O6" s="95"/>
      <c r="P6" s="95"/>
    </row>
    <row r="7" spans="1:17" x14ac:dyDescent="0.25">
      <c r="B7" s="76">
        <v>2</v>
      </c>
      <c r="C7" s="77" t="s">
        <v>128</v>
      </c>
      <c r="D7" s="78">
        <v>3</v>
      </c>
      <c r="E7" s="79">
        <v>66000</v>
      </c>
      <c r="F7" s="80" t="s">
        <v>129</v>
      </c>
      <c r="G7" s="81">
        <f>D7*E7</f>
        <v>198000</v>
      </c>
      <c r="H7" s="94"/>
      <c r="I7" s="95"/>
      <c r="J7" s="95"/>
      <c r="K7" s="95"/>
      <c r="L7" s="95"/>
      <c r="M7" s="95"/>
      <c r="N7" s="95"/>
      <c r="O7" s="95"/>
      <c r="P7" s="95"/>
    </row>
    <row r="8" spans="1:17" x14ac:dyDescent="0.25">
      <c r="B8" s="76">
        <v>3</v>
      </c>
      <c r="C8" s="77" t="s">
        <v>130</v>
      </c>
      <c r="D8" s="78">
        <v>1000</v>
      </c>
      <c r="E8" s="79">
        <v>330</v>
      </c>
      <c r="F8" s="80" t="s">
        <v>127</v>
      </c>
      <c r="G8" s="81">
        <f t="shared" ref="G8" si="0">D8*E8</f>
        <v>330000</v>
      </c>
      <c r="H8" s="94"/>
      <c r="I8" s="95"/>
      <c r="J8" s="95"/>
      <c r="K8" s="95"/>
      <c r="L8" s="95"/>
      <c r="M8" s="95"/>
      <c r="N8" s="95"/>
      <c r="O8" s="95"/>
      <c r="P8" s="95"/>
    </row>
    <row r="9" spans="1:17" ht="15.75" thickBot="1" x14ac:dyDescent="0.3">
      <c r="B9" s="114"/>
      <c r="C9" s="115" t="s">
        <v>131</v>
      </c>
      <c r="D9" s="116"/>
      <c r="E9" s="117"/>
      <c r="F9" s="115"/>
      <c r="G9" s="118">
        <f>SUM(G6:G8)</f>
        <v>2728000</v>
      </c>
      <c r="H9" s="94">
        <f>198000+1100000</f>
        <v>1298000</v>
      </c>
      <c r="I9" s="95">
        <v>1430000</v>
      </c>
      <c r="J9" s="95"/>
      <c r="K9" s="95"/>
      <c r="L9" s="95"/>
      <c r="M9" s="95"/>
      <c r="N9" s="95"/>
      <c r="O9" s="95"/>
      <c r="P9" s="95"/>
      <c r="Q9" s="27"/>
    </row>
    <row r="10" spans="1:17" ht="15.75" x14ac:dyDescent="0.25">
      <c r="B10" s="60">
        <v>2</v>
      </c>
      <c r="C10" s="61" t="s">
        <v>132</v>
      </c>
      <c r="D10" s="62"/>
      <c r="E10" s="62"/>
      <c r="F10" s="61"/>
      <c r="G10" s="63"/>
      <c r="H10" s="96"/>
      <c r="I10" s="97"/>
      <c r="J10" s="97"/>
      <c r="K10" s="97"/>
      <c r="L10" s="97"/>
      <c r="M10" s="97"/>
      <c r="N10" s="97"/>
      <c r="O10" s="97"/>
      <c r="P10" s="97"/>
      <c r="Q10" s="27"/>
    </row>
    <row r="11" spans="1:17" x14ac:dyDescent="0.25">
      <c r="B11" s="84">
        <v>1</v>
      </c>
      <c r="C11" s="29" t="s">
        <v>133</v>
      </c>
      <c r="D11" s="85">
        <f>18*36</f>
        <v>648</v>
      </c>
      <c r="E11" s="85">
        <v>8800</v>
      </c>
      <c r="F11" s="86" t="s">
        <v>127</v>
      </c>
      <c r="G11" s="87">
        <f t="shared" ref="G11:G23" si="1">D11*E11</f>
        <v>5702400</v>
      </c>
      <c r="H11" s="94"/>
      <c r="I11" s="95"/>
      <c r="J11" s="95"/>
      <c r="K11" s="95"/>
      <c r="L11" s="95"/>
      <c r="M11" s="95"/>
      <c r="N11" s="95"/>
      <c r="O11" s="95"/>
      <c r="P11" s="95"/>
      <c r="Q11" s="27"/>
    </row>
    <row r="12" spans="1:17" x14ac:dyDescent="0.25">
      <c r="B12" s="84">
        <v>2</v>
      </c>
      <c r="C12" s="29" t="s">
        <v>134</v>
      </c>
      <c r="D12" s="85">
        <f>1000*1.25</f>
        <v>1250</v>
      </c>
      <c r="E12" s="85">
        <v>495.00000000000006</v>
      </c>
      <c r="F12" s="86" t="s">
        <v>135</v>
      </c>
      <c r="G12" s="87">
        <f t="shared" si="1"/>
        <v>618750.00000000012</v>
      </c>
      <c r="H12" s="94"/>
      <c r="I12" s="95"/>
      <c r="J12" s="95"/>
      <c r="K12" s="95"/>
      <c r="L12" s="95"/>
      <c r="M12" s="95"/>
      <c r="N12" s="95"/>
      <c r="O12" s="95"/>
      <c r="P12" s="95"/>
      <c r="Q12" s="27"/>
    </row>
    <row r="13" spans="1:17" x14ac:dyDescent="0.25">
      <c r="B13" s="84">
        <v>3</v>
      </c>
      <c r="C13" s="29" t="s">
        <v>136</v>
      </c>
      <c r="D13" s="85">
        <f>(18+13+25+13+36+36+18)*1.2</f>
        <v>190.79999999999998</v>
      </c>
      <c r="E13" s="85">
        <v>13750.000000000002</v>
      </c>
      <c r="F13" s="86" t="s">
        <v>135</v>
      </c>
      <c r="G13" s="87">
        <f t="shared" si="1"/>
        <v>2623500</v>
      </c>
      <c r="H13" s="94"/>
      <c r="I13" s="95"/>
      <c r="J13" s="95"/>
      <c r="K13" s="95"/>
      <c r="L13" s="95"/>
      <c r="M13" s="95"/>
      <c r="N13" s="95"/>
      <c r="O13" s="95"/>
      <c r="P13" s="95"/>
      <c r="Q13" s="27"/>
    </row>
    <row r="14" spans="1:17" x14ac:dyDescent="0.25">
      <c r="B14" s="84">
        <v>4</v>
      </c>
      <c r="C14" s="29" t="s">
        <v>137</v>
      </c>
      <c r="D14" s="85">
        <v>1000</v>
      </c>
      <c r="E14" s="85">
        <v>2860.0000000000005</v>
      </c>
      <c r="F14" s="86" t="s">
        <v>127</v>
      </c>
      <c r="G14" s="87">
        <f t="shared" si="1"/>
        <v>2860000.0000000005</v>
      </c>
      <c r="H14" s="94"/>
      <c r="I14" s="95"/>
      <c r="J14" s="95"/>
      <c r="K14" s="95"/>
      <c r="L14" s="95"/>
      <c r="M14" s="95"/>
      <c r="N14" s="95"/>
      <c r="O14" s="95"/>
      <c r="P14" s="95"/>
      <c r="Q14" s="27"/>
    </row>
    <row r="15" spans="1:17" x14ac:dyDescent="0.25">
      <c r="B15" s="84">
        <v>5</v>
      </c>
      <c r="C15" s="29" t="s">
        <v>138</v>
      </c>
      <c r="D15" s="85">
        <v>1000</v>
      </c>
      <c r="E15" s="85">
        <v>891.00000000000011</v>
      </c>
      <c r="F15" s="86" t="s">
        <v>127</v>
      </c>
      <c r="G15" s="87">
        <f>D15*E15</f>
        <v>891000.00000000012</v>
      </c>
      <c r="H15" s="94"/>
      <c r="I15" s="95"/>
      <c r="J15" s="95"/>
      <c r="K15" s="95"/>
      <c r="L15" s="95"/>
      <c r="M15" s="95"/>
      <c r="N15" s="95"/>
      <c r="O15" s="95"/>
      <c r="P15" s="95"/>
      <c r="Q15" s="27"/>
    </row>
    <row r="16" spans="1:17" x14ac:dyDescent="0.25">
      <c r="B16" s="84">
        <v>6</v>
      </c>
      <c r="C16" s="29" t="s">
        <v>139</v>
      </c>
      <c r="D16" s="85">
        <v>55</v>
      </c>
      <c r="E16" s="85">
        <v>88000</v>
      </c>
      <c r="F16" s="86" t="s">
        <v>140</v>
      </c>
      <c r="G16" s="87">
        <f t="shared" si="1"/>
        <v>4840000</v>
      </c>
      <c r="H16" s="94"/>
      <c r="I16" s="95"/>
      <c r="J16" s="95"/>
      <c r="K16" s="95"/>
      <c r="L16" s="95"/>
      <c r="M16" s="95"/>
      <c r="N16" s="95"/>
      <c r="O16" s="95"/>
      <c r="P16" s="95"/>
      <c r="Q16" s="27"/>
    </row>
    <row r="17" spans="2:17" x14ac:dyDescent="0.25">
      <c r="B17" s="84">
        <v>7</v>
      </c>
      <c r="C17" s="29" t="s">
        <v>141</v>
      </c>
      <c r="D17" s="85">
        <f>((18*3+5*18/2)*2+4*13*2+4*25)*0.7</f>
        <v>281.39999999999998</v>
      </c>
      <c r="E17" s="85">
        <v>3960.0000000000005</v>
      </c>
      <c r="F17" s="86" t="s">
        <v>127</v>
      </c>
      <c r="G17" s="87">
        <f t="shared" si="1"/>
        <v>1114344</v>
      </c>
      <c r="H17" s="94"/>
      <c r="I17" s="95"/>
      <c r="J17" s="95"/>
      <c r="K17" s="95"/>
      <c r="L17" s="95"/>
      <c r="M17" s="95"/>
      <c r="N17" s="95"/>
      <c r="O17" s="95"/>
      <c r="P17" s="95"/>
      <c r="Q17" s="27"/>
    </row>
    <row r="18" spans="2:17" x14ac:dyDescent="0.25">
      <c r="B18" s="84">
        <v>8</v>
      </c>
      <c r="C18" s="29" t="s">
        <v>142</v>
      </c>
      <c r="D18" s="85">
        <f>25*13.5</f>
        <v>337.5</v>
      </c>
      <c r="E18" s="85">
        <v>3080.0000000000005</v>
      </c>
      <c r="F18" s="86" t="s">
        <v>127</v>
      </c>
      <c r="G18" s="87">
        <f t="shared" si="1"/>
        <v>1039500.0000000001</v>
      </c>
      <c r="H18" s="94"/>
      <c r="I18" s="95"/>
      <c r="J18" s="95"/>
      <c r="K18" s="95"/>
      <c r="L18" s="95"/>
      <c r="M18" s="95"/>
      <c r="N18" s="95"/>
      <c r="O18" s="95"/>
      <c r="P18" s="95"/>
      <c r="Q18" s="27"/>
    </row>
    <row r="19" spans="2:17" x14ac:dyDescent="0.25">
      <c r="B19" s="84">
        <v>9</v>
      </c>
      <c r="C19" s="29" t="s">
        <v>143</v>
      </c>
      <c r="D19" s="85">
        <f>((18*3+5*18/2)*2+4*13*2+4*25)*0.3</f>
        <v>120.6</v>
      </c>
      <c r="E19" s="85">
        <v>23100.000000000004</v>
      </c>
      <c r="F19" s="86" t="s">
        <v>127</v>
      </c>
      <c r="G19" s="87">
        <f t="shared" si="1"/>
        <v>2785860.0000000005</v>
      </c>
      <c r="H19" s="94"/>
      <c r="I19" s="95"/>
      <c r="J19" s="95"/>
      <c r="K19" s="95"/>
      <c r="L19" s="95"/>
      <c r="M19" s="95"/>
      <c r="N19" s="95"/>
      <c r="O19" s="95"/>
      <c r="P19" s="95"/>
      <c r="Q19" s="27"/>
    </row>
    <row r="20" spans="2:17" x14ac:dyDescent="0.25">
      <c r="B20" s="84">
        <v>10</v>
      </c>
      <c r="C20" s="29" t="s">
        <v>144</v>
      </c>
      <c r="D20" s="85">
        <f>13.5*25*1</f>
        <v>337.5</v>
      </c>
      <c r="E20" s="85">
        <v>3850.0000000000005</v>
      </c>
      <c r="F20" s="86" t="s">
        <v>127</v>
      </c>
      <c r="G20" s="87">
        <f t="shared" si="1"/>
        <v>1299375.0000000002</v>
      </c>
      <c r="H20" s="94"/>
      <c r="I20" s="95"/>
      <c r="J20" s="95"/>
      <c r="K20" s="95"/>
      <c r="L20" s="95"/>
      <c r="M20" s="95"/>
      <c r="N20" s="95"/>
      <c r="O20" s="95"/>
      <c r="P20" s="95"/>
      <c r="Q20" s="27"/>
    </row>
    <row r="21" spans="2:17" x14ac:dyDescent="0.25">
      <c r="B21" s="84">
        <v>11</v>
      </c>
      <c r="C21" s="29" t="s">
        <v>145</v>
      </c>
      <c r="D21" s="85">
        <f>D11*0.7</f>
        <v>453.59999999999997</v>
      </c>
      <c r="E21" s="85">
        <v>1100</v>
      </c>
      <c r="F21" s="86" t="s">
        <v>127</v>
      </c>
      <c r="G21" s="87">
        <f t="shared" si="1"/>
        <v>498959.99999999994</v>
      </c>
      <c r="H21" s="94"/>
      <c r="I21" s="95"/>
      <c r="J21" s="95"/>
      <c r="K21" s="95"/>
      <c r="L21" s="95"/>
      <c r="M21" s="95"/>
      <c r="N21" s="95"/>
      <c r="O21" s="95"/>
      <c r="P21" s="95"/>
      <c r="Q21" s="27"/>
    </row>
    <row r="22" spans="2:17" x14ac:dyDescent="0.25">
      <c r="B22" s="84">
        <v>12</v>
      </c>
      <c r="C22" s="29" t="s">
        <v>146</v>
      </c>
      <c r="D22" s="85">
        <f>(36+18+13+25+13+11+18)*1.1</f>
        <v>147.4</v>
      </c>
      <c r="E22" s="85">
        <v>1760.0000000000002</v>
      </c>
      <c r="F22" s="86" t="s">
        <v>147</v>
      </c>
      <c r="G22" s="87">
        <f t="shared" si="1"/>
        <v>259424.00000000003</v>
      </c>
      <c r="H22" s="94"/>
      <c r="I22" s="95"/>
      <c r="J22" s="95"/>
      <c r="K22" s="95"/>
      <c r="L22" s="95"/>
      <c r="M22" s="95"/>
      <c r="N22" s="95"/>
      <c r="O22" s="95"/>
      <c r="P22" s="95"/>
      <c r="Q22" s="27"/>
    </row>
    <row r="23" spans="2:17" x14ac:dyDescent="0.25">
      <c r="B23" s="84">
        <v>13</v>
      </c>
      <c r="C23" s="29" t="s">
        <v>148</v>
      </c>
      <c r="D23" s="85">
        <v>4</v>
      </c>
      <c r="E23" s="85">
        <v>121000.00000000001</v>
      </c>
      <c r="F23" s="86" t="s">
        <v>149</v>
      </c>
      <c r="G23" s="87">
        <f t="shared" si="1"/>
        <v>484000.00000000006</v>
      </c>
      <c r="H23" s="94"/>
      <c r="I23" s="95"/>
      <c r="J23" s="95"/>
      <c r="K23" s="95"/>
      <c r="L23" s="95"/>
      <c r="M23" s="95"/>
      <c r="N23" s="95"/>
      <c r="O23" s="95"/>
      <c r="P23" s="95"/>
      <c r="Q23" s="27"/>
    </row>
    <row r="24" spans="2:17" ht="15.75" thickBot="1" x14ac:dyDescent="0.3">
      <c r="B24" s="119"/>
      <c r="C24" s="115" t="s">
        <v>150</v>
      </c>
      <c r="D24" s="116"/>
      <c r="E24" s="117"/>
      <c r="F24" s="115"/>
      <c r="G24" s="118">
        <f>SUM(G11:G23)</f>
        <v>25017113</v>
      </c>
      <c r="H24" s="94"/>
      <c r="I24" s="95">
        <v>16000000</v>
      </c>
      <c r="J24" s="98">
        <v>8000000</v>
      </c>
      <c r="K24" s="98">
        <v>1017113</v>
      </c>
      <c r="L24" s="98"/>
      <c r="M24" s="98"/>
      <c r="N24" s="95"/>
      <c r="O24" s="95"/>
      <c r="P24" s="95"/>
      <c r="Q24" s="27"/>
    </row>
    <row r="25" spans="2:17" ht="15.75" x14ac:dyDescent="0.25">
      <c r="B25" s="60">
        <v>3</v>
      </c>
      <c r="C25" s="64" t="s">
        <v>151</v>
      </c>
      <c r="D25" s="65"/>
      <c r="E25" s="66"/>
      <c r="F25" s="64"/>
      <c r="G25" s="67"/>
      <c r="H25" s="94"/>
      <c r="I25" s="95"/>
      <c r="J25" s="95"/>
      <c r="K25" s="95"/>
      <c r="L25" s="95"/>
      <c r="M25" s="95"/>
      <c r="N25" s="95"/>
      <c r="O25" s="95"/>
      <c r="P25" s="95"/>
      <c r="Q25" s="27"/>
    </row>
    <row r="26" spans="2:17" x14ac:dyDescent="0.25">
      <c r="B26" s="84">
        <v>1</v>
      </c>
      <c r="C26" s="29" t="s">
        <v>152</v>
      </c>
      <c r="D26" s="85">
        <v>1000</v>
      </c>
      <c r="E26" s="85">
        <v>1540.0000000000002</v>
      </c>
      <c r="F26" s="86" t="s">
        <v>127</v>
      </c>
      <c r="G26" s="87">
        <f>D26*E26</f>
        <v>1540000.0000000002</v>
      </c>
      <c r="H26" s="94"/>
      <c r="I26" s="95"/>
      <c r="J26" s="95"/>
      <c r="K26" s="95"/>
      <c r="L26" s="95"/>
      <c r="M26" s="95"/>
      <c r="N26" s="95"/>
      <c r="O26" s="95"/>
      <c r="P26" s="95"/>
      <c r="Q26" s="27"/>
    </row>
    <row r="27" spans="2:17" x14ac:dyDescent="0.25">
      <c r="B27" s="84">
        <v>2</v>
      </c>
      <c r="C27" s="29" t="s">
        <v>153</v>
      </c>
      <c r="D27" s="85">
        <v>1000</v>
      </c>
      <c r="E27" s="85">
        <v>1210</v>
      </c>
      <c r="F27" s="86" t="s">
        <v>127</v>
      </c>
      <c r="G27" s="87">
        <f t="shared" ref="G27:G31" si="2">D27*E27</f>
        <v>1210000</v>
      </c>
      <c r="H27" s="94"/>
      <c r="I27" s="95"/>
      <c r="J27" s="95"/>
      <c r="K27" s="95"/>
      <c r="L27" s="95"/>
      <c r="M27" s="95"/>
      <c r="N27" s="95"/>
      <c r="O27" s="95"/>
      <c r="P27" s="95"/>
      <c r="Q27" s="27"/>
    </row>
    <row r="28" spans="2:17" x14ac:dyDescent="0.25">
      <c r="B28" s="84">
        <v>3</v>
      </c>
      <c r="C28" s="29" t="s">
        <v>154</v>
      </c>
      <c r="D28" s="85">
        <v>1000</v>
      </c>
      <c r="E28" s="85">
        <v>990.00000000000011</v>
      </c>
      <c r="F28" s="86" t="s">
        <v>127</v>
      </c>
      <c r="G28" s="87">
        <f t="shared" si="2"/>
        <v>990000.00000000012</v>
      </c>
      <c r="H28" s="94"/>
      <c r="I28" s="95"/>
      <c r="J28" s="95"/>
      <c r="K28" s="95"/>
      <c r="L28" s="95"/>
      <c r="M28" s="95"/>
      <c r="N28" s="95"/>
      <c r="O28" s="95"/>
      <c r="P28" s="95"/>
      <c r="Q28" s="27"/>
    </row>
    <row r="29" spans="2:17" x14ac:dyDescent="0.25">
      <c r="B29" s="84">
        <v>4</v>
      </c>
      <c r="C29" s="29" t="s">
        <v>155</v>
      </c>
      <c r="D29" s="85">
        <v>1000</v>
      </c>
      <c r="E29" s="85">
        <v>440.00000000000006</v>
      </c>
      <c r="F29" s="86" t="s">
        <v>127</v>
      </c>
      <c r="G29" s="87">
        <f t="shared" si="2"/>
        <v>440000.00000000006</v>
      </c>
      <c r="H29" s="94"/>
      <c r="I29" s="95"/>
      <c r="J29" s="95"/>
      <c r="K29" s="95"/>
      <c r="L29" s="95"/>
      <c r="M29" s="95"/>
      <c r="N29" s="95"/>
      <c r="O29" s="95"/>
      <c r="P29" s="95"/>
      <c r="Q29" s="27"/>
    </row>
    <row r="30" spans="2:17" x14ac:dyDescent="0.25">
      <c r="B30" s="84">
        <v>5</v>
      </c>
      <c r="C30" s="89" t="s">
        <v>156</v>
      </c>
      <c r="D30" s="85">
        <v>1000</v>
      </c>
      <c r="E30" s="85">
        <v>385.00000000000006</v>
      </c>
      <c r="F30" s="86" t="s">
        <v>127</v>
      </c>
      <c r="G30" s="87">
        <f t="shared" si="2"/>
        <v>385000.00000000006</v>
      </c>
      <c r="H30" s="94"/>
      <c r="I30" s="95"/>
      <c r="J30" s="95"/>
      <c r="K30" s="95"/>
      <c r="L30" s="95"/>
      <c r="M30" s="95"/>
      <c r="N30" s="95"/>
      <c r="O30" s="95"/>
      <c r="P30" s="95"/>
      <c r="Q30" s="27"/>
    </row>
    <row r="31" spans="2:17" x14ac:dyDescent="0.25">
      <c r="B31" s="84">
        <v>6</v>
      </c>
      <c r="C31" s="29" t="s">
        <v>157</v>
      </c>
      <c r="D31" s="85">
        <v>1000</v>
      </c>
      <c r="E31" s="85">
        <v>990.00000000000011</v>
      </c>
      <c r="F31" s="86" t="s">
        <v>127</v>
      </c>
      <c r="G31" s="87">
        <f t="shared" si="2"/>
        <v>990000.00000000012</v>
      </c>
      <c r="H31" s="94"/>
      <c r="I31" s="95"/>
      <c r="J31" s="95"/>
      <c r="K31" s="95"/>
      <c r="L31" s="95"/>
      <c r="M31" s="95"/>
      <c r="N31" s="95"/>
      <c r="O31" s="95"/>
      <c r="P31" s="95"/>
      <c r="Q31" s="27"/>
    </row>
    <row r="32" spans="2:17" x14ac:dyDescent="0.25">
      <c r="B32" s="84">
        <v>7</v>
      </c>
      <c r="C32" s="29" t="s">
        <v>158</v>
      </c>
      <c r="D32" s="85">
        <v>1000</v>
      </c>
      <c r="E32" s="85">
        <v>220.00000000000003</v>
      </c>
      <c r="F32" s="86" t="s">
        <v>127</v>
      </c>
      <c r="G32" s="87">
        <f>D32*E32</f>
        <v>220000.00000000003</v>
      </c>
      <c r="H32" s="94"/>
      <c r="I32" s="95"/>
      <c r="J32" s="95"/>
      <c r="K32" s="95"/>
      <c r="L32" s="95"/>
      <c r="M32" s="95"/>
      <c r="N32" s="95"/>
      <c r="O32" s="95"/>
      <c r="P32" s="95"/>
      <c r="Q32" s="27"/>
    </row>
    <row r="33" spans="2:17" x14ac:dyDescent="0.25">
      <c r="B33" s="84">
        <v>8</v>
      </c>
      <c r="C33" s="29" t="s">
        <v>159</v>
      </c>
      <c r="D33" s="85"/>
      <c r="E33" s="85">
        <v>1</v>
      </c>
      <c r="F33" s="86"/>
      <c r="G33" s="87">
        <v>3000000</v>
      </c>
      <c r="H33" s="94"/>
      <c r="I33" s="95"/>
      <c r="J33" s="95"/>
      <c r="K33" s="95"/>
      <c r="L33" s="95"/>
      <c r="M33" s="95"/>
      <c r="N33" s="95"/>
      <c r="O33" s="95"/>
      <c r="P33" s="95"/>
      <c r="Q33" s="27"/>
    </row>
    <row r="34" spans="2:17" ht="15.75" thickBot="1" x14ac:dyDescent="0.3">
      <c r="B34" s="119"/>
      <c r="C34" s="115" t="s">
        <v>160</v>
      </c>
      <c r="D34" s="117"/>
      <c r="E34" s="117"/>
      <c r="F34" s="120"/>
      <c r="G34" s="118">
        <f>SUM(G26:G33)</f>
        <v>8775000</v>
      </c>
      <c r="H34" s="94"/>
      <c r="I34" s="95"/>
      <c r="J34" s="95">
        <v>7000000</v>
      </c>
      <c r="K34" s="95">
        <v>1775000</v>
      </c>
      <c r="L34" s="98"/>
      <c r="M34" s="98"/>
      <c r="N34" s="98"/>
      <c r="O34" s="95"/>
      <c r="P34" s="95"/>
      <c r="Q34" s="27"/>
    </row>
    <row r="35" spans="2:17" ht="15.75" x14ac:dyDescent="0.25">
      <c r="B35" s="60">
        <v>4</v>
      </c>
      <c r="C35" s="64" t="s">
        <v>161</v>
      </c>
      <c r="D35" s="65"/>
      <c r="E35" s="65"/>
      <c r="F35" s="64"/>
      <c r="G35" s="67"/>
      <c r="H35" s="94"/>
      <c r="I35" s="95"/>
      <c r="J35" s="95"/>
      <c r="K35" s="95"/>
      <c r="L35" s="95"/>
      <c r="M35" s="95"/>
      <c r="N35" s="95"/>
      <c r="O35" s="95"/>
      <c r="P35" s="95"/>
      <c r="Q35" s="27"/>
    </row>
    <row r="36" spans="2:17" x14ac:dyDescent="0.25">
      <c r="B36" s="84">
        <v>1</v>
      </c>
      <c r="C36" s="29" t="s">
        <v>162</v>
      </c>
      <c r="D36" s="85">
        <f>49*7</f>
        <v>343</v>
      </c>
      <c r="E36" s="85">
        <v>1485.0000000000002</v>
      </c>
      <c r="F36" s="86" t="s">
        <v>127</v>
      </c>
      <c r="G36" s="87">
        <f t="shared" ref="G36:G39" si="3">D36*E36</f>
        <v>509355.00000000006</v>
      </c>
      <c r="H36" s="94"/>
      <c r="I36" s="95"/>
      <c r="J36" s="95"/>
      <c r="K36" s="95"/>
      <c r="L36" s="95"/>
      <c r="M36" s="95"/>
      <c r="N36" s="95"/>
      <c r="O36" s="95"/>
      <c r="P36" s="95"/>
      <c r="Q36" s="27"/>
    </row>
    <row r="37" spans="2:17" x14ac:dyDescent="0.25">
      <c r="B37" s="84">
        <v>2</v>
      </c>
      <c r="C37" s="29" t="s">
        <v>163</v>
      </c>
      <c r="D37" s="85">
        <v>1000</v>
      </c>
      <c r="E37" s="85">
        <v>165</v>
      </c>
      <c r="F37" s="86" t="s">
        <v>164</v>
      </c>
      <c r="G37" s="87">
        <f t="shared" si="3"/>
        <v>165000</v>
      </c>
      <c r="H37" s="94"/>
      <c r="I37" s="95"/>
      <c r="J37" s="95"/>
      <c r="K37" s="95"/>
      <c r="L37" s="95"/>
      <c r="M37" s="95"/>
      <c r="N37" s="95"/>
      <c r="O37" s="95"/>
      <c r="P37" s="95"/>
      <c r="Q37" s="27"/>
    </row>
    <row r="38" spans="2:17" x14ac:dyDescent="0.25">
      <c r="B38" s="84">
        <v>3</v>
      </c>
      <c r="C38" s="29" t="s">
        <v>165</v>
      </c>
      <c r="D38" s="85">
        <f>36*18</f>
        <v>648</v>
      </c>
      <c r="E38" s="85">
        <v>2420</v>
      </c>
      <c r="F38" s="86" t="s">
        <v>127</v>
      </c>
      <c r="G38" s="87">
        <f t="shared" si="3"/>
        <v>1568160</v>
      </c>
      <c r="H38" s="94"/>
      <c r="I38" s="95"/>
      <c r="J38" s="95"/>
      <c r="K38" s="95"/>
      <c r="L38" s="95"/>
      <c r="M38" s="95"/>
      <c r="N38" s="95"/>
      <c r="O38" s="95"/>
      <c r="P38" s="95"/>
      <c r="Q38" s="27"/>
    </row>
    <row r="39" spans="2:17" x14ac:dyDescent="0.25">
      <c r="B39" s="84">
        <v>4</v>
      </c>
      <c r="C39" s="29" t="s">
        <v>166</v>
      </c>
      <c r="D39" s="85">
        <v>1</v>
      </c>
      <c r="E39" s="85"/>
      <c r="F39" s="86"/>
      <c r="G39" s="87">
        <f t="shared" si="3"/>
        <v>0</v>
      </c>
      <c r="H39" s="94"/>
      <c r="I39" s="95"/>
      <c r="J39" s="95"/>
      <c r="K39" s="95"/>
      <c r="L39" s="95"/>
      <c r="M39" s="95"/>
      <c r="N39" s="95"/>
      <c r="O39" s="95"/>
      <c r="P39" s="95"/>
      <c r="Q39" s="27"/>
    </row>
    <row r="40" spans="2:17" ht="15.75" thickBot="1" x14ac:dyDescent="0.3">
      <c r="B40" s="119"/>
      <c r="C40" s="115" t="s">
        <v>167</v>
      </c>
      <c r="D40" s="117"/>
      <c r="E40" s="117"/>
      <c r="F40" s="120"/>
      <c r="G40" s="118">
        <f>SUM(G36:G39)</f>
        <v>2242515</v>
      </c>
      <c r="H40" s="94"/>
      <c r="I40" s="95"/>
      <c r="J40" s="95"/>
      <c r="K40" s="95">
        <v>2242515</v>
      </c>
      <c r="L40" s="95"/>
      <c r="M40" s="95"/>
      <c r="N40" s="95"/>
      <c r="O40" s="95"/>
      <c r="P40" s="95"/>
      <c r="Q40" s="27"/>
    </row>
    <row r="41" spans="2:17" ht="15.75" x14ac:dyDescent="0.25">
      <c r="B41" s="121"/>
      <c r="C41" s="122" t="s">
        <v>168</v>
      </c>
      <c r="D41" s="123"/>
      <c r="E41" s="123"/>
      <c r="F41" s="124"/>
      <c r="G41" s="125">
        <f>G9+G34+G24+G40</f>
        <v>38762628</v>
      </c>
      <c r="H41" s="138">
        <f>SUM(H5:H40)</f>
        <v>1298000</v>
      </c>
      <c r="I41" s="85">
        <f t="shared" ref="I41:P41" si="4">SUM(I5:I40)</f>
        <v>17430000</v>
      </c>
      <c r="J41" s="85">
        <f t="shared" si="4"/>
        <v>15000000</v>
      </c>
      <c r="K41" s="85">
        <f t="shared" si="4"/>
        <v>5034628</v>
      </c>
      <c r="L41" s="85">
        <f t="shared" si="4"/>
        <v>0</v>
      </c>
      <c r="M41" s="85">
        <f t="shared" si="4"/>
        <v>0</v>
      </c>
      <c r="N41" s="85">
        <f t="shared" si="4"/>
        <v>0</v>
      </c>
      <c r="O41" s="85">
        <f t="shared" si="4"/>
        <v>0</v>
      </c>
      <c r="P41" s="85">
        <f t="shared" si="4"/>
        <v>0</v>
      </c>
    </row>
    <row r="42" spans="2:17" ht="15.75" thickBot="1" x14ac:dyDescent="0.3">
      <c r="B42" s="88"/>
      <c r="C42" s="91" t="s">
        <v>169</v>
      </c>
      <c r="D42" s="82"/>
      <c r="E42" s="82"/>
      <c r="F42" s="90"/>
      <c r="G42" s="83">
        <f>G41/1000</f>
        <v>38762.627999999997</v>
      </c>
      <c r="H42" s="139"/>
      <c r="I42" s="140"/>
      <c r="J42" s="140"/>
      <c r="K42" s="140"/>
      <c r="L42" s="140"/>
      <c r="M42" s="140"/>
      <c r="N42" s="140"/>
      <c r="O42" s="140"/>
      <c r="P42" s="140"/>
    </row>
  </sheetData>
  <hyperlinks>
    <hyperlink ref="A1" location="Структура!A1" display="к содержанию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92D050"/>
  </sheetPr>
  <dimension ref="A1:I18"/>
  <sheetViews>
    <sheetView workbookViewId="0">
      <selection activeCell="B15" sqref="B15"/>
    </sheetView>
  </sheetViews>
  <sheetFormatPr defaultRowHeight="15" x14ac:dyDescent="0.25"/>
  <cols>
    <col min="3" max="3" width="16.7109375" customWidth="1"/>
    <col min="4" max="4" width="10.85546875" customWidth="1"/>
    <col min="5" max="5" width="9" bestFit="1" customWidth="1"/>
    <col min="6" max="6" width="9.42578125" bestFit="1" customWidth="1"/>
    <col min="7" max="7" width="10.7109375" bestFit="1" customWidth="1"/>
    <col min="8" max="8" width="10.85546875" bestFit="1" customWidth="1"/>
    <col min="9" max="9" width="11" customWidth="1"/>
  </cols>
  <sheetData>
    <row r="1" spans="1:9" x14ac:dyDescent="0.25">
      <c r="A1" s="1" t="s">
        <v>1</v>
      </c>
    </row>
    <row r="3" spans="1:9" ht="18.75" x14ac:dyDescent="0.3">
      <c r="B3" s="16" t="s">
        <v>306</v>
      </c>
    </row>
    <row r="4" spans="1:9" ht="45" x14ac:dyDescent="0.25">
      <c r="B4" s="38" t="s">
        <v>75</v>
      </c>
      <c r="C4" s="38" t="s">
        <v>76</v>
      </c>
      <c r="D4" s="38" t="s">
        <v>77</v>
      </c>
      <c r="E4" s="38" t="s">
        <v>78</v>
      </c>
      <c r="F4" s="39" t="s">
        <v>92</v>
      </c>
      <c r="G4" s="38" t="s">
        <v>80</v>
      </c>
      <c r="H4" s="39" t="s">
        <v>86</v>
      </c>
      <c r="I4" s="39" t="s">
        <v>20</v>
      </c>
    </row>
    <row r="5" spans="1:9" ht="30" x14ac:dyDescent="0.25">
      <c r="B5" s="40">
        <v>1</v>
      </c>
      <c r="C5" s="41" t="s">
        <v>81</v>
      </c>
      <c r="D5" s="42">
        <v>1</v>
      </c>
      <c r="E5" s="46">
        <v>45000</v>
      </c>
      <c r="F5" s="47">
        <f>E5*(1+Параметры!C$31)</f>
        <v>56250</v>
      </c>
      <c r="G5" s="48">
        <f>F5</f>
        <v>56250</v>
      </c>
      <c r="H5" s="47">
        <f>G5*Параметры!C$27</f>
        <v>16875.000000000004</v>
      </c>
      <c r="I5" s="47">
        <f>G5*Параметры!C$32</f>
        <v>7312.5</v>
      </c>
    </row>
    <row r="6" spans="1:9" x14ac:dyDescent="0.25">
      <c r="B6" s="40">
        <v>2</v>
      </c>
      <c r="C6" s="41" t="s">
        <v>82</v>
      </c>
      <c r="D6" s="42">
        <v>1</v>
      </c>
      <c r="E6" s="46">
        <v>20000</v>
      </c>
      <c r="F6" s="47">
        <f>E6*(1+Параметры!C$31)</f>
        <v>25000</v>
      </c>
      <c r="G6" s="48">
        <f t="shared" ref="G6:G9" si="0">F6</f>
        <v>25000</v>
      </c>
      <c r="H6" s="47">
        <f>G6*Параметры!C$27</f>
        <v>7500.0000000000009</v>
      </c>
      <c r="I6" s="47">
        <f>G6*Параметры!C$32</f>
        <v>3250</v>
      </c>
    </row>
    <row r="7" spans="1:9" x14ac:dyDescent="0.25">
      <c r="B7" s="40">
        <v>3</v>
      </c>
      <c r="C7" s="41" t="s">
        <v>87</v>
      </c>
      <c r="D7" s="42">
        <v>1</v>
      </c>
      <c r="E7" s="46">
        <v>21000</v>
      </c>
      <c r="F7" s="47">
        <f>E7*(1+Параметры!C$31)</f>
        <v>26250</v>
      </c>
      <c r="G7" s="48">
        <f t="shared" si="0"/>
        <v>26250</v>
      </c>
      <c r="H7" s="47">
        <f>G7*Параметры!C$27</f>
        <v>7875.0000000000009</v>
      </c>
      <c r="I7" s="47">
        <f>G7*Параметры!C$32</f>
        <v>3412.5</v>
      </c>
    </row>
    <row r="8" spans="1:9" ht="30" x14ac:dyDescent="0.25">
      <c r="B8" s="40">
        <v>4</v>
      </c>
      <c r="C8" s="41" t="s">
        <v>83</v>
      </c>
      <c r="D8" s="42">
        <v>1</v>
      </c>
      <c r="E8" s="46">
        <v>26000</v>
      </c>
      <c r="F8" s="47">
        <f>E8*(1+Параметры!C$31)</f>
        <v>32500</v>
      </c>
      <c r="G8" s="48">
        <f t="shared" si="0"/>
        <v>32500</v>
      </c>
      <c r="H8" s="47">
        <f>G8*Параметры!C$27</f>
        <v>9750.0000000000018</v>
      </c>
      <c r="I8" s="47">
        <f>G8*Параметры!C$32</f>
        <v>4225</v>
      </c>
    </row>
    <row r="9" spans="1:9" ht="30" x14ac:dyDescent="0.25">
      <c r="B9" s="40">
        <v>5</v>
      </c>
      <c r="C9" s="41" t="s">
        <v>84</v>
      </c>
      <c r="D9" s="42">
        <v>1</v>
      </c>
      <c r="E9" s="46">
        <v>20000</v>
      </c>
      <c r="F9" s="47">
        <f>E9*(1+Параметры!C$31)</f>
        <v>25000</v>
      </c>
      <c r="G9" s="48">
        <f t="shared" si="0"/>
        <v>25000</v>
      </c>
      <c r="H9" s="47">
        <f>G9*Параметры!C$27</f>
        <v>7500.0000000000009</v>
      </c>
      <c r="I9" s="47">
        <f>G9*Параметры!C$32</f>
        <v>3250</v>
      </c>
    </row>
    <row r="10" spans="1:9" x14ac:dyDescent="0.25">
      <c r="B10" s="271" t="s">
        <v>85</v>
      </c>
      <c r="C10" s="272"/>
      <c r="D10" s="53">
        <f t="shared" ref="D10:H10" si="1">SUM(D5:D9)</f>
        <v>5</v>
      </c>
      <c r="E10" s="54"/>
      <c r="F10" s="54"/>
      <c r="G10" s="55">
        <f t="shared" si="1"/>
        <v>165000</v>
      </c>
      <c r="H10" s="49">
        <f t="shared" si="1"/>
        <v>49500.000000000007</v>
      </c>
      <c r="I10" s="49">
        <f t="shared" ref="I10" si="2">SUM(I5:I9)</f>
        <v>21450</v>
      </c>
    </row>
    <row r="11" spans="1:9" x14ac:dyDescent="0.25">
      <c r="B11" s="273" t="s">
        <v>93</v>
      </c>
      <c r="C11" s="273"/>
      <c r="D11" s="273"/>
      <c r="E11" s="273"/>
      <c r="F11" s="273"/>
      <c r="G11" s="56">
        <f>G10/D10</f>
        <v>33000</v>
      </c>
      <c r="H11" s="50"/>
    </row>
    <row r="12" spans="1:9" x14ac:dyDescent="0.25">
      <c r="B12" s="141"/>
      <c r="C12" s="141"/>
      <c r="D12" s="141"/>
      <c r="E12" s="141"/>
      <c r="F12" s="141"/>
      <c r="G12" s="142"/>
      <c r="H12" s="50"/>
    </row>
    <row r="13" spans="1:9" x14ac:dyDescent="0.25">
      <c r="B13" s="44"/>
      <c r="C13" s="44"/>
      <c r="D13" s="44"/>
      <c r="E13" s="44"/>
      <c r="F13" s="44"/>
      <c r="G13" s="44"/>
      <c r="H13" s="44"/>
    </row>
    <row r="14" spans="1:9" ht="18.75" x14ac:dyDescent="0.25">
      <c r="B14" s="45" t="s">
        <v>307</v>
      </c>
      <c r="C14" s="44"/>
      <c r="D14" s="44"/>
      <c r="E14" s="44"/>
      <c r="F14" s="44"/>
      <c r="G14" s="44"/>
      <c r="H14" s="44"/>
    </row>
    <row r="15" spans="1:9" ht="45" x14ac:dyDescent="0.25">
      <c r="B15" s="38" t="s">
        <v>75</v>
      </c>
      <c r="C15" s="38" t="s">
        <v>76</v>
      </c>
      <c r="D15" s="38" t="s">
        <v>77</v>
      </c>
      <c r="E15" s="38" t="s">
        <v>78</v>
      </c>
      <c r="F15" s="38" t="s">
        <v>79</v>
      </c>
      <c r="G15" s="38" t="s">
        <v>80</v>
      </c>
      <c r="H15" s="39" t="s">
        <v>86</v>
      </c>
      <c r="I15" s="39" t="s">
        <v>20</v>
      </c>
    </row>
    <row r="16" spans="1:9" ht="30" x14ac:dyDescent="0.25">
      <c r="B16" s="40">
        <v>1</v>
      </c>
      <c r="C16" s="41" t="s">
        <v>83</v>
      </c>
      <c r="D16" s="42">
        <v>1</v>
      </c>
      <c r="E16" s="46">
        <v>0</v>
      </c>
      <c r="F16" s="47">
        <f>E16*(1+Параметры!C$31)</f>
        <v>0</v>
      </c>
      <c r="G16" s="48">
        <f>F16</f>
        <v>0</v>
      </c>
      <c r="H16" s="47">
        <f>G16*Параметры!C$27</f>
        <v>0</v>
      </c>
      <c r="I16" s="47">
        <f>G16*Параметры!C$32</f>
        <v>0</v>
      </c>
    </row>
    <row r="17" spans="2:9" ht="15" customHeight="1" x14ac:dyDescent="0.25">
      <c r="B17" s="271" t="s">
        <v>85</v>
      </c>
      <c r="C17" s="272"/>
      <c r="D17" s="53">
        <f>SUM(D16:D16)</f>
        <v>1</v>
      </c>
      <c r="E17" s="55"/>
      <c r="F17" s="55"/>
      <c r="G17" s="55">
        <f>SUM(G16:G16)</f>
        <v>0</v>
      </c>
      <c r="H17" s="49">
        <f>SUM(H16:H16)</f>
        <v>0</v>
      </c>
      <c r="I17" s="49">
        <f>SUM(I16:I16)</f>
        <v>0</v>
      </c>
    </row>
    <row r="18" spans="2:9" x14ac:dyDescent="0.25">
      <c r="B18" s="273" t="s">
        <v>93</v>
      </c>
      <c r="C18" s="273"/>
      <c r="D18" s="273"/>
      <c r="E18" s="273"/>
      <c r="F18" s="273"/>
      <c r="G18" s="57">
        <f>G17/D17</f>
        <v>0</v>
      </c>
      <c r="H18" s="43"/>
    </row>
  </sheetData>
  <mergeCells count="4">
    <mergeCell ref="B10:C10"/>
    <mergeCell ref="B11:F11"/>
    <mergeCell ref="B17:C17"/>
    <mergeCell ref="B18:F18"/>
  </mergeCells>
  <hyperlinks>
    <hyperlink ref="A1" location="Структура!A1" display="к содержанию"/>
  </hyperlink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92D050"/>
  </sheetPr>
  <dimension ref="A1:C14"/>
  <sheetViews>
    <sheetView workbookViewId="0">
      <selection activeCell="B12" sqref="B12"/>
    </sheetView>
  </sheetViews>
  <sheetFormatPr defaultRowHeight="15" x14ac:dyDescent="0.25"/>
  <cols>
    <col min="2" max="2" width="27" customWidth="1"/>
    <col min="3" max="3" width="19.5703125" bestFit="1" customWidth="1"/>
  </cols>
  <sheetData>
    <row r="1" spans="1:3" x14ac:dyDescent="0.25">
      <c r="A1" s="1" t="s">
        <v>1</v>
      </c>
    </row>
    <row r="3" spans="1:3" ht="18.75" x14ac:dyDescent="0.3">
      <c r="B3" s="16" t="s">
        <v>89</v>
      </c>
    </row>
    <row r="4" spans="1:3" ht="18.75" x14ac:dyDescent="0.3">
      <c r="B4" s="16"/>
    </row>
    <row r="5" spans="1:3" x14ac:dyDescent="0.25">
      <c r="B5" t="s">
        <v>95</v>
      </c>
    </row>
    <row r="6" spans="1:3" x14ac:dyDescent="0.25">
      <c r="B6" t="s">
        <v>90</v>
      </c>
    </row>
    <row r="7" spans="1:3" x14ac:dyDescent="0.25">
      <c r="B7" t="s">
        <v>94</v>
      </c>
    </row>
    <row r="8" spans="1:3" x14ac:dyDescent="0.25">
      <c r="B8" t="s">
        <v>224</v>
      </c>
    </row>
    <row r="9" spans="1:3" x14ac:dyDescent="0.25">
      <c r="B9" t="s">
        <v>247</v>
      </c>
    </row>
    <row r="11" spans="1:3" x14ac:dyDescent="0.25">
      <c r="B11" s="18" t="s">
        <v>91</v>
      </c>
      <c r="C11" s="18" t="s">
        <v>237</v>
      </c>
    </row>
    <row r="12" spans="1:3" ht="30" x14ac:dyDescent="0.25">
      <c r="B12" s="129" t="s">
        <v>223</v>
      </c>
      <c r="C12" s="128">
        <f>SUM(C13:C14)</f>
        <v>6000</v>
      </c>
    </row>
    <row r="13" spans="1:3" ht="30" x14ac:dyDescent="0.25">
      <c r="B13" s="17" t="s">
        <v>225</v>
      </c>
      <c r="C13" s="51">
        <f>2700*1.2</f>
        <v>3240</v>
      </c>
    </row>
    <row r="14" spans="1:3" ht="30" x14ac:dyDescent="0.25">
      <c r="B14" s="17" t="s">
        <v>222</v>
      </c>
      <c r="C14" s="51">
        <f>2300*1.2</f>
        <v>2760</v>
      </c>
    </row>
  </sheetData>
  <hyperlinks>
    <hyperlink ref="A1" location="Структура!A1" display="к содержанию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92D050"/>
  </sheetPr>
  <dimension ref="A1:E10"/>
  <sheetViews>
    <sheetView workbookViewId="0">
      <selection activeCell="D7" sqref="D7"/>
    </sheetView>
  </sheetViews>
  <sheetFormatPr defaultRowHeight="15" x14ac:dyDescent="0.25"/>
  <cols>
    <col min="2" max="2" width="20.7109375" customWidth="1"/>
    <col min="3" max="3" width="17" customWidth="1"/>
    <col min="4" max="4" width="18.28515625" customWidth="1"/>
    <col min="5" max="5" width="13.7109375" customWidth="1"/>
  </cols>
  <sheetData>
    <row r="1" spans="1:5" x14ac:dyDescent="0.25">
      <c r="A1" s="1" t="s">
        <v>1</v>
      </c>
    </row>
    <row r="3" spans="1:5" ht="18.75" x14ac:dyDescent="0.3">
      <c r="B3" s="16" t="s">
        <v>102</v>
      </c>
    </row>
    <row r="5" spans="1:5" ht="60" x14ac:dyDescent="0.25">
      <c r="B5" s="25" t="s">
        <v>105</v>
      </c>
      <c r="C5" s="25" t="s">
        <v>103</v>
      </c>
      <c r="D5" s="25" t="s">
        <v>104</v>
      </c>
      <c r="E5" s="25" t="s">
        <v>236</v>
      </c>
    </row>
    <row r="6" spans="1:5" x14ac:dyDescent="0.25">
      <c r="B6" s="111">
        <v>2038</v>
      </c>
      <c r="C6" s="26">
        <v>2735811</v>
      </c>
      <c r="D6" s="22">
        <v>1.4999999999999999E-2</v>
      </c>
      <c r="E6" s="52">
        <f>C6*D6</f>
        <v>41037.165000000001</v>
      </c>
    </row>
    <row r="8" spans="1:5" x14ac:dyDescent="0.25">
      <c r="B8" t="s">
        <v>108</v>
      </c>
    </row>
    <row r="9" spans="1:5" x14ac:dyDescent="0.25">
      <c r="B9" t="s">
        <v>109</v>
      </c>
    </row>
    <row r="10" spans="1:5" x14ac:dyDescent="0.25">
      <c r="B10" t="s">
        <v>110</v>
      </c>
    </row>
  </sheetData>
  <hyperlinks>
    <hyperlink ref="A1" location="Структура!A1" display="к содержанию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</sheetPr>
  <dimension ref="A1:AA20"/>
  <sheetViews>
    <sheetView zoomScale="91" zoomScaleNormal="9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20" sqref="P20"/>
    </sheetView>
  </sheetViews>
  <sheetFormatPr defaultRowHeight="15" x14ac:dyDescent="0.25"/>
  <cols>
    <col min="2" max="2" width="35.7109375" bestFit="1" customWidth="1"/>
    <col min="3" max="3" width="9.85546875" customWidth="1"/>
    <col min="4" max="5" width="10.85546875" bestFit="1" customWidth="1"/>
    <col min="6" max="6" width="11.5703125" customWidth="1"/>
    <col min="7" max="8" width="10.85546875" bestFit="1" customWidth="1"/>
    <col min="9" max="9" width="11.42578125" customWidth="1"/>
    <col min="10" max="14" width="10.28515625" bestFit="1" customWidth="1"/>
    <col min="16" max="16" width="10.28515625" bestFit="1" customWidth="1"/>
  </cols>
  <sheetData>
    <row r="1" spans="1:27" x14ac:dyDescent="0.25">
      <c r="A1" s="1" t="s">
        <v>1</v>
      </c>
    </row>
    <row r="3" spans="1:27" ht="18.75" x14ac:dyDescent="0.3">
      <c r="B3" s="16" t="s">
        <v>184</v>
      </c>
    </row>
    <row r="4" spans="1:27" x14ac:dyDescent="0.25">
      <c r="C4" t="s">
        <v>194</v>
      </c>
      <c r="D4" t="s">
        <v>195</v>
      </c>
      <c r="E4" t="s">
        <v>196</v>
      </c>
      <c r="F4" t="s">
        <v>197</v>
      </c>
      <c r="G4" t="s">
        <v>198</v>
      </c>
      <c r="H4" t="s">
        <v>199</v>
      </c>
      <c r="I4" t="s">
        <v>200</v>
      </c>
      <c r="J4" t="s">
        <v>201</v>
      </c>
      <c r="K4" t="s">
        <v>202</v>
      </c>
      <c r="L4" t="s">
        <v>203</v>
      </c>
      <c r="M4" t="s">
        <v>204</v>
      </c>
      <c r="N4" t="s">
        <v>205</v>
      </c>
      <c r="O4" t="s">
        <v>206</v>
      </c>
      <c r="P4" t="s">
        <v>207</v>
      </c>
      <c r="Q4" t="s">
        <v>208</v>
      </c>
      <c r="R4" t="s">
        <v>209</v>
      </c>
      <c r="S4" t="s">
        <v>210</v>
      </c>
      <c r="T4" t="s">
        <v>211</v>
      </c>
      <c r="U4" t="s">
        <v>212</v>
      </c>
      <c r="V4" t="s">
        <v>213</v>
      </c>
      <c r="W4" t="s">
        <v>214</v>
      </c>
      <c r="X4" t="s">
        <v>215</v>
      </c>
      <c r="Y4" t="s">
        <v>216</v>
      </c>
      <c r="Z4" t="s">
        <v>217</v>
      </c>
      <c r="AA4" t="s">
        <v>254</v>
      </c>
    </row>
    <row r="5" spans="1:27" x14ac:dyDescent="0.25">
      <c r="B5" s="110" t="s">
        <v>185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7" x14ac:dyDescent="0.25">
      <c r="B6" s="18" t="s">
        <v>188</v>
      </c>
      <c r="C6" s="26">
        <v>4000000</v>
      </c>
      <c r="D6" s="26">
        <v>19500000</v>
      </c>
      <c r="E6" s="26">
        <v>17000000</v>
      </c>
      <c r="F6" s="270">
        <v>6903389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</row>
    <row r="7" spans="1:27" x14ac:dyDescent="0.25">
      <c r="B7" s="18" t="s">
        <v>187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</row>
    <row r="8" spans="1:27" x14ac:dyDescent="0.25">
      <c r="B8" s="18" t="s">
        <v>190</v>
      </c>
      <c r="C8" s="28">
        <f>C10*Параметры!$C19/4</f>
        <v>82500</v>
      </c>
      <c r="D8" s="28">
        <f>D10*Параметры!$C19/4</f>
        <v>484687.5</v>
      </c>
      <c r="E8" s="28">
        <f>E10*Параметры!$C19/4</f>
        <v>835312.5</v>
      </c>
      <c r="F8" s="28">
        <f>F10*Параметры!$C19/4</f>
        <v>977694.89812500007</v>
      </c>
      <c r="G8" s="28">
        <f>G10*Параметры!$C19/4</f>
        <v>575507.39812500007</v>
      </c>
      <c r="H8" s="28">
        <f>H10*Параметры!$C19/4</f>
        <v>70194.898125000007</v>
      </c>
      <c r="I8" s="28">
        <f>I10*Параметры!$C19/4</f>
        <v>0</v>
      </c>
      <c r="J8" s="28">
        <f>J10*Параметры!$C19/4</f>
        <v>0</v>
      </c>
      <c r="K8" s="28">
        <f>K10*Параметры!$C19/4</f>
        <v>0</v>
      </c>
      <c r="L8" s="28">
        <f>L10*Параметры!$C19/4</f>
        <v>0</v>
      </c>
      <c r="M8" s="28">
        <f>M10*Параметры!$C19/4</f>
        <v>0</v>
      </c>
      <c r="N8" s="28">
        <f>N10*Параметры!$C19/4</f>
        <v>0</v>
      </c>
      <c r="O8" s="28">
        <f>O10*Параметры!$C19/4</f>
        <v>0</v>
      </c>
      <c r="P8" s="28">
        <f>P10*Параметры!$C19/4</f>
        <v>0</v>
      </c>
      <c r="Q8" s="28">
        <f>Q10*Параметры!$C19/4</f>
        <v>0</v>
      </c>
      <c r="R8" s="28">
        <f>R10*Параметры!$C19/4</f>
        <v>0</v>
      </c>
      <c r="S8" s="28">
        <f>S10*Параметры!$C19/4</f>
        <v>0</v>
      </c>
      <c r="T8" s="28">
        <f>T10*Параметры!$C19/4</f>
        <v>0</v>
      </c>
      <c r="U8" s="28">
        <f>U10*Параметры!$C19/4</f>
        <v>0</v>
      </c>
      <c r="V8" s="28">
        <f>V10*Параметры!$C19/4</f>
        <v>0</v>
      </c>
      <c r="W8" s="28">
        <f>W10*Параметры!$C19/4</f>
        <v>0</v>
      </c>
      <c r="X8" s="28">
        <f>X10*Параметры!$C19/4</f>
        <v>0</v>
      </c>
      <c r="Y8" s="28">
        <f>Y10*Параметры!$C19/4</f>
        <v>0</v>
      </c>
      <c r="Z8" s="28">
        <f>Z10*Параметры!$C19/4</f>
        <v>0</v>
      </c>
      <c r="AA8" s="28">
        <f>AA10*Параметры!$C19/4</f>
        <v>0</v>
      </c>
    </row>
    <row r="9" spans="1:27" x14ac:dyDescent="0.25">
      <c r="B9" s="18" t="s">
        <v>189</v>
      </c>
      <c r="C9" s="26"/>
      <c r="D9" s="26"/>
      <c r="E9" s="26"/>
      <c r="F9" s="26"/>
      <c r="G9" s="26">
        <v>19500000</v>
      </c>
      <c r="H9" s="26">
        <v>24500000</v>
      </c>
      <c r="I9" s="270">
        <v>3403389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</row>
    <row r="10" spans="1:27" x14ac:dyDescent="0.25">
      <c r="B10" s="18" t="s">
        <v>193</v>
      </c>
      <c r="C10" s="28">
        <f>C6-C9</f>
        <v>4000000</v>
      </c>
      <c r="D10" s="28">
        <f>C10+D6-D9</f>
        <v>23500000</v>
      </c>
      <c r="E10" s="28">
        <f t="shared" ref="E10:AA10" si="0">D10+E6-E9</f>
        <v>40500000</v>
      </c>
      <c r="F10" s="28">
        <f t="shared" si="0"/>
        <v>47403389</v>
      </c>
      <c r="G10" s="28">
        <f t="shared" si="0"/>
        <v>27903389</v>
      </c>
      <c r="H10" s="28">
        <f t="shared" si="0"/>
        <v>3403389</v>
      </c>
      <c r="I10" s="28">
        <f t="shared" si="0"/>
        <v>0</v>
      </c>
      <c r="J10" s="28">
        <f t="shared" si="0"/>
        <v>0</v>
      </c>
      <c r="K10" s="28">
        <f t="shared" si="0"/>
        <v>0</v>
      </c>
      <c r="L10" s="28">
        <f t="shared" si="0"/>
        <v>0</v>
      </c>
      <c r="M10" s="28">
        <f t="shared" si="0"/>
        <v>0</v>
      </c>
      <c r="N10" s="28">
        <f t="shared" si="0"/>
        <v>0</v>
      </c>
      <c r="O10" s="28">
        <f t="shared" si="0"/>
        <v>0</v>
      </c>
      <c r="P10" s="28">
        <f t="shared" si="0"/>
        <v>0</v>
      </c>
      <c r="Q10" s="28">
        <f t="shared" si="0"/>
        <v>0</v>
      </c>
      <c r="R10" s="28">
        <f t="shared" si="0"/>
        <v>0</v>
      </c>
      <c r="S10" s="28">
        <f t="shared" si="0"/>
        <v>0</v>
      </c>
      <c r="T10" s="28">
        <f t="shared" si="0"/>
        <v>0</v>
      </c>
      <c r="U10" s="28">
        <f t="shared" si="0"/>
        <v>0</v>
      </c>
      <c r="V10" s="28">
        <f t="shared" si="0"/>
        <v>0</v>
      </c>
      <c r="W10" s="28">
        <f t="shared" si="0"/>
        <v>0</v>
      </c>
      <c r="X10" s="28">
        <f t="shared" si="0"/>
        <v>0</v>
      </c>
      <c r="Y10" s="28">
        <f t="shared" si="0"/>
        <v>0</v>
      </c>
      <c r="Z10" s="28">
        <f t="shared" si="0"/>
        <v>0</v>
      </c>
      <c r="AA10" s="28">
        <f t="shared" si="0"/>
        <v>0</v>
      </c>
    </row>
    <row r="12" spans="1:27" x14ac:dyDescent="0.25">
      <c r="B12" s="110" t="s">
        <v>186</v>
      </c>
    </row>
    <row r="13" spans="1:27" x14ac:dyDescent="0.25">
      <c r="B13" s="18" t="s">
        <v>191</v>
      </c>
      <c r="C13" s="23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</row>
    <row r="14" spans="1:27" x14ac:dyDescent="0.25">
      <c r="B14" s="18" t="s">
        <v>187</v>
      </c>
      <c r="C14" s="23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5" spans="1:27" x14ac:dyDescent="0.25">
      <c r="B15" s="18" t="s">
        <v>190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1:27" x14ac:dyDescent="0.25">
      <c r="B16" s="18" t="s">
        <v>189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</row>
    <row r="17" spans="2:27" x14ac:dyDescent="0.25">
      <c r="B17" s="18" t="s">
        <v>192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</row>
    <row r="20" spans="2:27" x14ac:dyDescent="0.25">
      <c r="B20" t="s">
        <v>56</v>
      </c>
      <c r="C20" s="126">
        <f>'Сводные данные с индексацией'!C44</f>
        <v>1946509.2309675866</v>
      </c>
      <c r="D20" s="126">
        <f>'Сводные данные с индексацией'!D44</f>
        <v>1303212.3830141015</v>
      </c>
      <c r="E20" s="126">
        <f>'Сводные данные с индексацией'!E44</f>
        <v>1346837.6007821858</v>
      </c>
      <c r="F20" s="126">
        <f>'Сводные данные с индексацией'!F44</f>
        <v>1356608.9197571883</v>
      </c>
      <c r="G20" s="126">
        <f>'Сводные данные с индексацией'!G44</f>
        <v>1281101.5216321878</v>
      </c>
      <c r="H20" s="126">
        <f>'Сводные данные с индексацией'!H44</f>
        <v>1212569.4730179987</v>
      </c>
      <c r="I20" s="126">
        <f>'Сводные данные с индексацией'!I44</f>
        <v>-2190819.526982001</v>
      </c>
      <c r="J20" s="126">
        <f>'Сводные данные с индексацией'!J44</f>
        <v>-2636913.0828701532</v>
      </c>
      <c r="K20" s="126">
        <f>'Сводные данные с индексацией'!K44</f>
        <v>-2636913.0828701528</v>
      </c>
      <c r="L20" s="126">
        <f>'Сводные данные с индексацией'!L44</f>
        <v>-2636913.0828701523</v>
      </c>
      <c r="M20" s="126">
        <f>'Сводные данные с индексацией'!M44</f>
        <v>-2636913.0828701523</v>
      </c>
      <c r="N20" s="126">
        <f>'Сводные данные с индексацией'!N44</f>
        <v>-2638033.0873589185</v>
      </c>
      <c r="O20" s="126">
        <f>'Сводные данные с индексацией'!O44</f>
        <v>-2638033.0873589185</v>
      </c>
      <c r="P20" s="126">
        <f>'Сводные данные с индексацией'!P44</f>
        <v>-2638033.0873589185</v>
      </c>
      <c r="Q20" s="126">
        <f>'Сводные данные с индексацией'!Q44</f>
        <v>-2638033.0873589185</v>
      </c>
      <c r="R20" s="126">
        <f>'Сводные данные с индексацией'!R44</f>
        <v>-2638033.0873589185</v>
      </c>
      <c r="S20" s="126">
        <f>'Сводные данные с индексацией'!S44</f>
        <v>-2638033.0873589185</v>
      </c>
      <c r="T20" s="126">
        <f>'Сводные данные с индексацией'!T44</f>
        <v>-2638033.0873589185</v>
      </c>
      <c r="U20" s="126">
        <f>'Сводные данные с индексацией'!U44</f>
        <v>-2638033.0873589185</v>
      </c>
      <c r="V20" s="126">
        <f>'Сводные данные с индексацией'!V44</f>
        <v>-2638033.0873589185</v>
      </c>
      <c r="W20" s="126">
        <f>'Сводные данные с индексацией'!W44</f>
        <v>-2638033.0873589185</v>
      </c>
      <c r="X20" s="126">
        <f>'Сводные данные с индексацией'!X44</f>
        <v>-2638033.0873589185</v>
      </c>
      <c r="Y20" s="126">
        <f>'Сводные данные с индексацией'!Y44</f>
        <v>-2638033.0873589185</v>
      </c>
      <c r="Z20" s="126">
        <f>'Сводные данные с индексацией'!Z44</f>
        <v>-2638033.0873589185</v>
      </c>
      <c r="AA20" s="126">
        <f>'Сводные данные с индексацией'!AA44</f>
        <v>-2638033.0873589185</v>
      </c>
    </row>
  </sheetData>
  <hyperlinks>
    <hyperlink ref="A1" location="Структура!A1" display="к содержанию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Титульный лист</vt:lpstr>
      <vt:lpstr>Общие показатели проекта</vt:lpstr>
      <vt:lpstr>Структура</vt:lpstr>
      <vt:lpstr>Параметры</vt:lpstr>
      <vt:lpstr>Строительная смета</vt:lpstr>
      <vt:lpstr>Штатное расписание</vt:lpstr>
      <vt:lpstr>Эксплуатация и ТО</vt:lpstr>
      <vt:lpstr>Аренда зем. уч.</vt:lpstr>
      <vt:lpstr>Заемные средства</vt:lpstr>
      <vt:lpstr>Бюджетное финансирование</vt:lpstr>
      <vt:lpstr>Сводные данные</vt:lpstr>
      <vt:lpstr>Сводные данные с индексацией</vt:lpstr>
      <vt:lpstr>ОДДС и показатели Инвестора</vt:lpstr>
      <vt:lpstr>Соц-эконом эффект</vt:lpstr>
      <vt:lpstr>Сравнительное преимущество</vt:lpstr>
      <vt:lpstr>Прогнозный ОПУ</vt:lpstr>
      <vt:lpstr>Прогнозный баланс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2021-03-03T06:26:28Z</dcterms:modified>
</cp:coreProperties>
</file>